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Publicering\Smågrisar - HKScan\"/>
    </mc:Choice>
  </mc:AlternateContent>
  <bookViews>
    <workbookView xWindow="0" yWindow="0" windowWidth="15360" windowHeight="7152" tabRatio="800" activeTab="2"/>
  </bookViews>
  <sheets>
    <sheet name="Intro" sheetId="9" r:id="rId1"/>
    <sheet name="Investeringskalkyl" sheetId="1" r:id="rId2"/>
    <sheet name="Driftkalkyl - Smågrisar" sheetId="11" r:id="rId3"/>
    <sheet name="Sammanställning Noter drift" sheetId="12" state="hidden" r:id="rId4"/>
    <sheet name="Offerter" sheetId="23" state="hidden" r:id="rId5"/>
    <sheet name="El" sheetId="21" state="hidden" r:id="rId6"/>
    <sheet name="Referenser" sheetId="13" state="hidden" r:id="rId7"/>
    <sheet name="Vet Medicin" sheetId="19" state="hidden" r:id="rId8"/>
    <sheet name="Gödsel &amp; Halm" sheetId="20" state="hidden" r:id="rId9"/>
    <sheet name="Foder" sheetId="17" state="hidden" r:id="rId10"/>
    <sheet name="PigWin" sheetId="16" state="hidden" r:id="rId11"/>
    <sheet name="Arbetstid" sheetId="15" state="hidden" r:id="rId12"/>
    <sheet name="SJVrullista" sheetId="10" state="hidden" r:id="rId13"/>
  </sheets>
  <definedNames>
    <definedName name="blue_a2">#REF!</definedName>
    <definedName name="Djurslag">SJVrullista!$A$3:$A$8</definedName>
    <definedName name="pristyp">#REF!</definedName>
    <definedName name="prodstorlek">#REF!</definedName>
    <definedName name="stodomrade">#REF!</definedName>
    <definedName name="_xlnm.Print_Area" localSheetId="2">'Driftkalkyl - Smågrisar'!$I$1:$U$76</definedName>
    <definedName name="Välj_djurslag">SJVrullista!$A$2:$A$8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B18" i="1" l="1"/>
  <c r="B15" i="1"/>
  <c r="E66" i="1" l="1"/>
  <c r="E44" i="1"/>
  <c r="E24" i="11" l="1"/>
  <c r="E23" i="11"/>
  <c r="C42" i="11"/>
  <c r="M5" i="23"/>
  <c r="E59" i="1" l="1"/>
  <c r="N23" i="23"/>
  <c r="E58" i="1" s="1"/>
  <c r="N18" i="23"/>
  <c r="M19" i="23"/>
  <c r="N19" i="23"/>
  <c r="N20" i="23"/>
  <c r="N21" i="23" l="1"/>
  <c r="O21" i="23" s="1"/>
  <c r="F73" i="1"/>
  <c r="N15" i="23"/>
  <c r="N8" i="23"/>
  <c r="E47" i="1" l="1"/>
  <c r="N4" i="23"/>
  <c r="L5" i="23"/>
  <c r="N5" i="23" s="1"/>
  <c r="E55" i="1" l="1"/>
  <c r="N11" i="23"/>
  <c r="N10" i="23"/>
  <c r="E51" i="1" l="1"/>
  <c r="N10" i="20"/>
  <c r="N11" i="20" s="1"/>
  <c r="C23" i="23" l="1"/>
  <c r="D15" i="23"/>
  <c r="E7" i="23"/>
  <c r="C7" i="23"/>
  <c r="G6" i="23"/>
  <c r="D6" i="23"/>
  <c r="C22" i="23" s="1"/>
  <c r="G5" i="23"/>
  <c r="G4" i="23"/>
  <c r="G3" i="23"/>
  <c r="C24" i="23" l="1"/>
  <c r="G7" i="23"/>
  <c r="G11" i="20" l="1"/>
  <c r="E52" i="11" l="1"/>
  <c r="E41" i="11"/>
  <c r="I34" i="19"/>
  <c r="E40" i="11" s="1"/>
  <c r="I33" i="19"/>
  <c r="I14" i="19"/>
  <c r="G33" i="21" l="1"/>
  <c r="P19" i="21" l="1"/>
  <c r="O19" i="21"/>
  <c r="O20" i="21" s="1"/>
  <c r="C35" i="11" s="1"/>
  <c r="C36" i="11"/>
  <c r="G34" i="21"/>
  <c r="E35" i="11" s="1"/>
  <c r="E25" i="11"/>
  <c r="E42" i="11"/>
  <c r="F42" i="11" s="1"/>
  <c r="G42" i="11" s="1"/>
  <c r="C41" i="11"/>
  <c r="B23" i="12"/>
  <c r="H42" i="11" l="1"/>
  <c r="B4" i="20"/>
  <c r="B6" i="17" l="1"/>
  <c r="B25" i="12"/>
  <c r="B26" i="12"/>
  <c r="B27" i="12"/>
  <c r="B28" i="12"/>
  <c r="C51" i="11" l="1"/>
  <c r="C10" i="16" l="1"/>
  <c r="B10" i="16"/>
  <c r="C4" i="20"/>
  <c r="D4" i="20" s="1"/>
  <c r="B6" i="20" l="1"/>
  <c r="O3" i="20" s="1"/>
  <c r="P3" i="20" s="1"/>
  <c r="F41" i="11"/>
  <c r="H41" i="11" s="1"/>
  <c r="B22" i="12"/>
  <c r="E36" i="11"/>
  <c r="G41" i="11" l="1"/>
  <c r="I5" i="20"/>
  <c r="D5" i="20"/>
  <c r="D6" i="20"/>
  <c r="D3" i="20"/>
  <c r="D11" i="16"/>
  <c r="D9" i="16" s="1"/>
  <c r="I17" i="19" s="1"/>
  <c r="D10" i="16"/>
  <c r="O4" i="20" l="1"/>
  <c r="P4" i="20" s="1"/>
  <c r="P5" i="20" s="1"/>
  <c r="G3" i="20"/>
  <c r="G9" i="20" s="1"/>
  <c r="H5" i="20"/>
  <c r="H9" i="20" s="1"/>
  <c r="H10" i="20"/>
  <c r="C25" i="11"/>
  <c r="I18" i="19"/>
  <c r="D9" i="20"/>
  <c r="C34" i="11" s="1"/>
  <c r="E30" i="19"/>
  <c r="I30" i="19" s="1"/>
  <c r="E29" i="19"/>
  <c r="I29" i="19" s="1"/>
  <c r="E28" i="19"/>
  <c r="I28" i="19" s="1"/>
  <c r="E27" i="19"/>
  <c r="I27" i="19" s="1"/>
  <c r="E26" i="19"/>
  <c r="I26" i="19" s="1"/>
  <c r="E24" i="19"/>
  <c r="I24" i="19" s="1"/>
  <c r="E23" i="19"/>
  <c r="I23" i="19" s="1"/>
  <c r="E22" i="19"/>
  <c r="I22" i="19" s="1"/>
  <c r="E21" i="19"/>
  <c r="I21" i="19" s="1"/>
  <c r="D7" i="16"/>
  <c r="C38" i="11" s="1"/>
  <c r="E4" i="17"/>
  <c r="E5" i="17"/>
  <c r="E3" i="17"/>
  <c r="C33" i="11"/>
  <c r="E33" i="11"/>
  <c r="E31" i="11"/>
  <c r="E30" i="11"/>
  <c r="C32" i="11"/>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25"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9" i="17"/>
  <c r="G10" i="20" l="1"/>
  <c r="G12" i="20" s="1"/>
  <c r="C24" i="11"/>
  <c r="I10" i="19"/>
  <c r="I11" i="19"/>
  <c r="B21" i="12"/>
  <c r="B24" i="12"/>
  <c r="F8" i="19"/>
  <c r="I8" i="19" s="1"/>
  <c r="I6" i="19"/>
  <c r="I5" i="19"/>
  <c r="I12" i="19" l="1"/>
  <c r="I31" i="19" s="1"/>
  <c r="E39" i="11" s="1"/>
  <c r="B166" i="17"/>
  <c r="D10" i="17"/>
  <c r="E10" i="17" s="1"/>
  <c r="D11" i="17"/>
  <c r="E11" i="17" s="1"/>
  <c r="D12" i="17"/>
  <c r="E12" i="17" s="1"/>
  <c r="D13" i="17"/>
  <c r="E13" i="17" s="1"/>
  <c r="D14" i="17"/>
  <c r="E14" i="17" s="1"/>
  <c r="D15" i="17"/>
  <c r="E15" i="17" s="1"/>
  <c r="D16" i="17"/>
  <c r="E16"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D31" i="17"/>
  <c r="E31" i="17" s="1"/>
  <c r="D32" i="17"/>
  <c r="E32" i="17" s="1"/>
  <c r="D33" i="17"/>
  <c r="E33" i="17" s="1"/>
  <c r="D34" i="17"/>
  <c r="E34" i="17" s="1"/>
  <c r="D35" i="17"/>
  <c r="E35" i="17" s="1"/>
  <c r="D36" i="17"/>
  <c r="E36" i="17" s="1"/>
  <c r="D37" i="17"/>
  <c r="E37"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56" i="17"/>
  <c r="E56" i="17" s="1"/>
  <c r="D57" i="17"/>
  <c r="E57" i="17" s="1"/>
  <c r="D58" i="17"/>
  <c r="E58" i="17" s="1"/>
  <c r="D59" i="17"/>
  <c r="E59" i="17" s="1"/>
  <c r="D60" i="17"/>
  <c r="E60" i="17" s="1"/>
  <c r="D61" i="17"/>
  <c r="E61" i="17" s="1"/>
  <c r="D62" i="17"/>
  <c r="E62" i="17" s="1"/>
  <c r="D63" i="17"/>
  <c r="E63" i="17" s="1"/>
  <c r="D64" i="17"/>
  <c r="E64" i="17" s="1"/>
  <c r="D65" i="17"/>
  <c r="E65" i="17" s="1"/>
  <c r="D66" i="17"/>
  <c r="E66" i="17" s="1"/>
  <c r="D67" i="17"/>
  <c r="E67" i="17" s="1"/>
  <c r="D68" i="17"/>
  <c r="E68" i="17" s="1"/>
  <c r="D69" i="17"/>
  <c r="E69" i="17" s="1"/>
  <c r="D70" i="17"/>
  <c r="E70" i="17" s="1"/>
  <c r="D71" i="17"/>
  <c r="E71" i="17" s="1"/>
  <c r="D72" i="17"/>
  <c r="E72" i="17" s="1"/>
  <c r="D73" i="17"/>
  <c r="E73" i="17" s="1"/>
  <c r="D74" i="17"/>
  <c r="E74" i="17" s="1"/>
  <c r="D75" i="17"/>
  <c r="E75" i="17" s="1"/>
  <c r="D76" i="17"/>
  <c r="E76" i="17" s="1"/>
  <c r="D77" i="17"/>
  <c r="E77" i="17" s="1"/>
  <c r="D78" i="17"/>
  <c r="E78" i="17" s="1"/>
  <c r="D79" i="17"/>
  <c r="E79" i="17" s="1"/>
  <c r="D80" i="17"/>
  <c r="E80" i="17" s="1"/>
  <c r="D81" i="17"/>
  <c r="E81" i="17" s="1"/>
  <c r="D82" i="17"/>
  <c r="E82" i="17" s="1"/>
  <c r="D83" i="17"/>
  <c r="E83" i="17" s="1"/>
  <c r="D84" i="17"/>
  <c r="E84" i="17" s="1"/>
  <c r="D85" i="17"/>
  <c r="E85" i="17" s="1"/>
  <c r="D86" i="17"/>
  <c r="E86" i="17" s="1"/>
  <c r="D87" i="17"/>
  <c r="E87" i="17" s="1"/>
  <c r="D88" i="17"/>
  <c r="E88" i="17" s="1"/>
  <c r="D89" i="17"/>
  <c r="E89" i="17" s="1"/>
  <c r="D90" i="17"/>
  <c r="E90" i="17" s="1"/>
  <c r="D91" i="17"/>
  <c r="E91" i="17" s="1"/>
  <c r="D92" i="17"/>
  <c r="E92" i="17" s="1"/>
  <c r="D93" i="17"/>
  <c r="E93" i="17" s="1"/>
  <c r="D94" i="17"/>
  <c r="E94" i="17" s="1"/>
  <c r="D95" i="17"/>
  <c r="E95" i="17" s="1"/>
  <c r="D96" i="17"/>
  <c r="E96" i="17" s="1"/>
  <c r="D97" i="17"/>
  <c r="E97" i="17" s="1"/>
  <c r="D98" i="17"/>
  <c r="E98" i="17" s="1"/>
  <c r="D99" i="17"/>
  <c r="E99" i="17" s="1"/>
  <c r="D100" i="17"/>
  <c r="E100" i="17" s="1"/>
  <c r="D101" i="17"/>
  <c r="E101" i="17" s="1"/>
  <c r="D102" i="17"/>
  <c r="E102" i="17" s="1"/>
  <c r="D103" i="17"/>
  <c r="E103" i="17" s="1"/>
  <c r="D104" i="17"/>
  <c r="E104" i="17" s="1"/>
  <c r="D105" i="17"/>
  <c r="E105" i="17" s="1"/>
  <c r="D106" i="17"/>
  <c r="E106" i="17" s="1"/>
  <c r="D107" i="17"/>
  <c r="E107" i="17" s="1"/>
  <c r="D108" i="17"/>
  <c r="E108" i="17" s="1"/>
  <c r="D109" i="17"/>
  <c r="E109" i="17" s="1"/>
  <c r="D110" i="17"/>
  <c r="E110" i="17" s="1"/>
  <c r="D111" i="17"/>
  <c r="E111" i="17" s="1"/>
  <c r="D112" i="17"/>
  <c r="E112" i="17" s="1"/>
  <c r="D113" i="17"/>
  <c r="E113" i="17" s="1"/>
  <c r="D114" i="17"/>
  <c r="E114" i="17" s="1"/>
  <c r="D115" i="17"/>
  <c r="E115" i="17" s="1"/>
  <c r="D116" i="17"/>
  <c r="E116" i="17" s="1"/>
  <c r="D117" i="17"/>
  <c r="E117" i="17" s="1"/>
  <c r="D118" i="17"/>
  <c r="E118" i="17" s="1"/>
  <c r="D119" i="17"/>
  <c r="E119" i="17" s="1"/>
  <c r="D120" i="17"/>
  <c r="E120" i="17" s="1"/>
  <c r="D121" i="17"/>
  <c r="E121" i="17" s="1"/>
  <c r="D122" i="17"/>
  <c r="E122" i="17" s="1"/>
  <c r="D123" i="17"/>
  <c r="E123" i="17" s="1"/>
  <c r="D124" i="17"/>
  <c r="E124" i="17" s="1"/>
  <c r="D125" i="17"/>
  <c r="D126" i="17"/>
  <c r="E126" i="17" s="1"/>
  <c r="D127" i="17"/>
  <c r="E127" i="17" s="1"/>
  <c r="D128" i="17"/>
  <c r="E128" i="17" s="1"/>
  <c r="D129" i="17"/>
  <c r="E129" i="17" s="1"/>
  <c r="D130" i="17"/>
  <c r="E130" i="17" s="1"/>
  <c r="D131" i="17"/>
  <c r="E131" i="17" s="1"/>
  <c r="D132" i="17"/>
  <c r="E132" i="17" s="1"/>
  <c r="D133" i="17"/>
  <c r="E133" i="17" s="1"/>
  <c r="D134" i="17"/>
  <c r="E134" i="17" s="1"/>
  <c r="D135" i="17"/>
  <c r="E135" i="17" s="1"/>
  <c r="D136" i="17"/>
  <c r="E136" i="17" s="1"/>
  <c r="D137" i="17"/>
  <c r="E137" i="17" s="1"/>
  <c r="D138" i="17"/>
  <c r="E138" i="17" s="1"/>
  <c r="D139" i="17"/>
  <c r="E139" i="17" s="1"/>
  <c r="D140" i="17"/>
  <c r="E140" i="17" s="1"/>
  <c r="D141" i="17"/>
  <c r="E141" i="17" s="1"/>
  <c r="D142" i="17"/>
  <c r="E142" i="17" s="1"/>
  <c r="D143" i="17"/>
  <c r="E143" i="17" s="1"/>
  <c r="D144" i="17"/>
  <c r="E144" i="17" s="1"/>
  <c r="D145" i="17"/>
  <c r="E145" i="17" s="1"/>
  <c r="D146" i="17"/>
  <c r="E146" i="17" s="1"/>
  <c r="D147" i="17"/>
  <c r="E147" i="17" s="1"/>
  <c r="D148" i="17"/>
  <c r="E148" i="17" s="1"/>
  <c r="D149" i="17"/>
  <c r="E149" i="17" s="1"/>
  <c r="D150" i="17"/>
  <c r="E150" i="17" s="1"/>
  <c r="D151" i="17"/>
  <c r="E151" i="17" s="1"/>
  <c r="D152" i="17"/>
  <c r="E152" i="17" s="1"/>
  <c r="D153" i="17"/>
  <c r="E153" i="17" s="1"/>
  <c r="D154" i="17"/>
  <c r="E154" i="17" s="1"/>
  <c r="D155" i="17"/>
  <c r="E155" i="17" s="1"/>
  <c r="D156" i="17"/>
  <c r="E156" i="17" s="1"/>
  <c r="D157" i="17"/>
  <c r="E157" i="17" s="1"/>
  <c r="D158" i="17"/>
  <c r="E158" i="17" s="1"/>
  <c r="D159" i="17"/>
  <c r="E159" i="17" s="1"/>
  <c r="D160" i="17"/>
  <c r="E160" i="17" s="1"/>
  <c r="D161" i="17"/>
  <c r="E161" i="17" s="1"/>
  <c r="D162" i="17"/>
  <c r="E162" i="17" s="1"/>
  <c r="D163" i="17"/>
  <c r="E163" i="17" s="1"/>
  <c r="D164" i="17"/>
  <c r="E164" i="17" s="1"/>
  <c r="D165" i="17"/>
  <c r="E165" i="17" s="1"/>
  <c r="D9" i="17"/>
  <c r="C169" i="17" l="1"/>
  <c r="C30" i="11" s="1"/>
  <c r="E9" i="17"/>
  <c r="C170" i="17" s="1"/>
  <c r="E125" i="17"/>
  <c r="D170" i="17" s="1"/>
  <c r="D169" i="17"/>
  <c r="C31" i="11" s="1"/>
  <c r="D166" i="17"/>
  <c r="E169" i="17" s="1"/>
  <c r="E19" i="11"/>
  <c r="C46" i="11" s="1"/>
  <c r="E166" i="17" l="1"/>
  <c r="E170" i="17" s="1"/>
  <c r="C25" i="15"/>
  <c r="C26" i="15"/>
  <c r="C27" i="15"/>
  <c r="C28" i="15"/>
  <c r="C24" i="15"/>
  <c r="Y16" i="15"/>
  <c r="AA16" i="15" s="1"/>
  <c r="X13" i="15"/>
  <c r="Y13" i="15" s="1"/>
  <c r="X15" i="15"/>
  <c r="Y15" i="15" s="1"/>
  <c r="AB15" i="15" s="1"/>
  <c r="X16" i="15"/>
  <c r="X17" i="15"/>
  <c r="Y17" i="15" s="1"/>
  <c r="M17" i="15"/>
  <c r="AA15" i="15" l="1"/>
  <c r="AB16" i="15"/>
  <c r="AB13" i="15"/>
  <c r="AA13" i="15"/>
  <c r="Z13" i="15"/>
  <c r="Z16" i="15"/>
  <c r="Z15" i="15"/>
  <c r="AA17" i="15"/>
  <c r="Z17" i="15"/>
  <c r="AB17" i="15"/>
  <c r="X9" i="15"/>
  <c r="Y9" i="15" s="1"/>
  <c r="M13" i="15"/>
  <c r="C18" i="15"/>
  <c r="D5" i="15" s="1"/>
  <c r="N5" i="15" s="1"/>
  <c r="G5" i="15" s="1"/>
  <c r="J28" i="15"/>
  <c r="N18" i="15" s="1"/>
  <c r="J27" i="15"/>
  <c r="K4" i="15"/>
  <c r="L4" i="15"/>
  <c r="K5" i="15"/>
  <c r="K6" i="15"/>
  <c r="L6" i="15"/>
  <c r="K7" i="15"/>
  <c r="K8" i="15"/>
  <c r="L8" i="15"/>
  <c r="K9" i="15"/>
  <c r="K10" i="15"/>
  <c r="L10" i="15"/>
  <c r="K11" i="15"/>
  <c r="K12" i="15"/>
  <c r="L12" i="15"/>
  <c r="K13" i="15"/>
  <c r="K14" i="15"/>
  <c r="L14" i="15"/>
  <c r="K15" i="15"/>
  <c r="M15" i="15"/>
  <c r="K16" i="15"/>
  <c r="M16" i="15"/>
  <c r="K17" i="15"/>
  <c r="L17" i="15"/>
  <c r="J5" i="15"/>
  <c r="J6" i="15"/>
  <c r="J7" i="15"/>
  <c r="J8" i="15"/>
  <c r="J9" i="15"/>
  <c r="J10" i="15"/>
  <c r="J11" i="15"/>
  <c r="J12" i="15"/>
  <c r="J13" i="15"/>
  <c r="J14" i="15"/>
  <c r="J15" i="15"/>
  <c r="J16" i="15"/>
  <c r="J17" i="15"/>
  <c r="J18" i="15"/>
  <c r="J19" i="15" s="1"/>
  <c r="J4" i="15"/>
  <c r="F5" i="15"/>
  <c r="L5" i="15" s="1"/>
  <c r="F6" i="15"/>
  <c r="F7" i="15"/>
  <c r="F18" i="15" s="1"/>
  <c r="F19" i="15" s="1"/>
  <c r="F8" i="15"/>
  <c r="F9" i="15"/>
  <c r="L9" i="15" s="1"/>
  <c r="F10" i="15"/>
  <c r="F11" i="15"/>
  <c r="L11" i="15" s="1"/>
  <c r="F12" i="15"/>
  <c r="F13" i="15"/>
  <c r="L13" i="15" s="1"/>
  <c r="F14" i="15"/>
  <c r="F15" i="15"/>
  <c r="L15" i="15" s="1"/>
  <c r="F16" i="15"/>
  <c r="L16" i="15" s="1"/>
  <c r="F17" i="15"/>
  <c r="F4" i="15"/>
  <c r="E19" i="15"/>
  <c r="B19" i="15"/>
  <c r="E18" i="15"/>
  <c r="K18" i="15" s="1"/>
  <c r="K19" i="15" s="1"/>
  <c r="B18" i="15"/>
  <c r="L18" i="15" l="1"/>
  <c r="L19" i="15" s="1"/>
  <c r="L7" i="15"/>
  <c r="X5" i="15"/>
  <c r="Y5" i="15" s="1"/>
  <c r="M5" i="15"/>
  <c r="D15" i="15"/>
  <c r="N15" i="15" s="1"/>
  <c r="D7" i="15"/>
  <c r="N7" i="15" s="1"/>
  <c r="G7" i="15" s="1"/>
  <c r="D10" i="15"/>
  <c r="N10" i="15" s="1"/>
  <c r="G10" i="15" s="1"/>
  <c r="X10" i="15" s="1"/>
  <c r="Y10" i="15" s="1"/>
  <c r="Z10" i="15" s="1"/>
  <c r="D4" i="15"/>
  <c r="N4" i="15" s="1"/>
  <c r="G4" i="15" s="1"/>
  <c r="D16" i="15"/>
  <c r="N16" i="15" s="1"/>
  <c r="D12" i="15"/>
  <c r="N12" i="15" s="1"/>
  <c r="G12" i="15" s="1"/>
  <c r="M12" i="15" s="1"/>
  <c r="D8" i="15"/>
  <c r="N8" i="15" s="1"/>
  <c r="D11" i="15"/>
  <c r="N11" i="15" s="1"/>
  <c r="D14" i="15"/>
  <c r="N14" i="15" s="1"/>
  <c r="G14" i="15" s="1"/>
  <c r="D6" i="15"/>
  <c r="N6" i="15" s="1"/>
  <c r="G6" i="15" s="1"/>
  <c r="D17" i="15"/>
  <c r="N17" i="15" s="1"/>
  <c r="D13" i="15"/>
  <c r="N13" i="15" s="1"/>
  <c r="D9" i="15"/>
  <c r="N9" i="15" s="1"/>
  <c r="AB9" i="15"/>
  <c r="Z9" i="15"/>
  <c r="AA9" i="15"/>
  <c r="M9" i="15"/>
  <c r="M8" i="15"/>
  <c r="X8" i="15"/>
  <c r="Y8" i="15" s="1"/>
  <c r="M11" i="15"/>
  <c r="X11" i="15"/>
  <c r="Y11" i="15" s="1"/>
  <c r="F25" i="11"/>
  <c r="G25" i="11" s="1"/>
  <c r="B9" i="12"/>
  <c r="AB10" i="15" l="1"/>
  <c r="AA10" i="15"/>
  <c r="M10" i="15"/>
  <c r="X6" i="15"/>
  <c r="Y6" i="15" s="1"/>
  <c r="M6" i="15"/>
  <c r="X7" i="15"/>
  <c r="Y7" i="15" s="1"/>
  <c r="M7" i="15"/>
  <c r="X12" i="15"/>
  <c r="Y12" i="15" s="1"/>
  <c r="Z12" i="15" s="1"/>
  <c r="X14" i="15"/>
  <c r="Y14" i="15" s="1"/>
  <c r="M14" i="15"/>
  <c r="G18" i="15"/>
  <c r="M18" i="15" s="1"/>
  <c r="M19" i="15" s="1"/>
  <c r="X4" i="15"/>
  <c r="Y4" i="15" s="1"/>
  <c r="M4" i="15"/>
  <c r="AA5" i="15"/>
  <c r="AB5" i="15"/>
  <c r="Z5" i="15"/>
  <c r="AA8" i="15"/>
  <c r="Z8" i="15"/>
  <c r="AB8" i="15"/>
  <c r="AA12" i="15"/>
  <c r="AB11" i="15"/>
  <c r="Z11" i="15"/>
  <c r="AA11" i="15"/>
  <c r="B20" i="12"/>
  <c r="B11" i="12"/>
  <c r="B12" i="12"/>
  <c r="B13" i="12"/>
  <c r="B14" i="12"/>
  <c r="B15" i="12"/>
  <c r="B16" i="12"/>
  <c r="B17" i="12"/>
  <c r="B18" i="12"/>
  <c r="B19" i="12"/>
  <c r="B10" i="12"/>
  <c r="B3" i="12"/>
  <c r="B4" i="12"/>
  <c r="B5" i="12"/>
  <c r="B6" i="12"/>
  <c r="B7" i="12"/>
  <c r="B8" i="12"/>
  <c r="B2" i="12"/>
  <c r="G19" i="15" l="1"/>
  <c r="AB12" i="15"/>
  <c r="AA7" i="15"/>
  <c r="AB7" i="15"/>
  <c r="Z7" i="15"/>
  <c r="AA14" i="15"/>
  <c r="AB14" i="15"/>
  <c r="Z14" i="15"/>
  <c r="X18" i="15"/>
  <c r="Y18" i="15"/>
  <c r="AA4" i="15"/>
  <c r="AB4" i="15"/>
  <c r="Z4" i="15"/>
  <c r="Z6" i="15"/>
  <c r="AA6" i="15"/>
  <c r="AB6" i="15"/>
  <c r="C23" i="11"/>
  <c r="AB18" i="15" l="1"/>
  <c r="AB19" i="15" s="1"/>
  <c r="AA18" i="15"/>
  <c r="Z18" i="15"/>
  <c r="E47" i="11"/>
  <c r="E46" i="11"/>
  <c r="C66" i="1"/>
  <c r="F66" i="1" s="1"/>
  <c r="C18" i="11"/>
  <c r="F18" i="11" s="1"/>
  <c r="G18" i="11" s="1"/>
  <c r="C29" i="11"/>
  <c r="F24" i="11"/>
  <c r="F23" i="11"/>
  <c r="F22" i="11"/>
  <c r="F21" i="11"/>
  <c r="F20" i="11"/>
  <c r="F19" i="11"/>
  <c r="G19" i="11" s="1"/>
  <c r="C50" i="11" l="1"/>
  <c r="F33" i="11" l="1"/>
  <c r="G33" i="11" l="1"/>
  <c r="H25" i="11" l="1"/>
  <c r="H33" i="11"/>
  <c r="H18" i="11"/>
  <c r="F54" i="11" l="1"/>
  <c r="G54" i="11" s="1"/>
  <c r="F65" i="1"/>
  <c r="U8" i="23" s="1"/>
  <c r="F62" i="1"/>
  <c r="F61" i="1"/>
  <c r="F60" i="1"/>
  <c r="F59" i="1"/>
  <c r="F58" i="1"/>
  <c r="F55" i="1"/>
  <c r="F51" i="1"/>
  <c r="F48" i="1"/>
  <c r="F47" i="1"/>
  <c r="F46" i="1"/>
  <c r="F45" i="1"/>
  <c r="F44" i="1"/>
  <c r="U9" i="23" s="1"/>
  <c r="F41" i="1"/>
  <c r="F40" i="1"/>
  <c r="F39" i="1"/>
  <c r="F38" i="1"/>
  <c r="F34" i="1"/>
  <c r="F35" i="1"/>
  <c r="B25" i="1"/>
  <c r="F51" i="11"/>
  <c r="G51" i="11" s="1"/>
  <c r="F52" i="11"/>
  <c r="G52" i="11" s="1"/>
  <c r="F53" i="11"/>
  <c r="H53" i="11" s="1"/>
  <c r="F55" i="11"/>
  <c r="G55" i="11" s="1"/>
  <c r="F48" i="11"/>
  <c r="H48" i="11" s="1"/>
  <c r="F67" i="1" l="1"/>
  <c r="F42" i="1"/>
  <c r="U7" i="23" s="1"/>
  <c r="F49" i="1"/>
  <c r="F56" i="1"/>
  <c r="H54" i="11"/>
  <c r="B10" i="11" s="1"/>
  <c r="F36" i="1"/>
  <c r="G48" i="11"/>
  <c r="G53" i="11"/>
  <c r="H52" i="11"/>
  <c r="H55" i="11"/>
  <c r="H51" i="11"/>
  <c r="F30" i="11"/>
  <c r="H30" i="11" s="1"/>
  <c r="F31" i="11"/>
  <c r="H31" i="11" s="1"/>
  <c r="F32" i="11"/>
  <c r="F34" i="11"/>
  <c r="F35" i="11"/>
  <c r="H35" i="11" s="1"/>
  <c r="F36" i="11"/>
  <c r="F37" i="11"/>
  <c r="H37" i="11" s="1"/>
  <c r="F38" i="11"/>
  <c r="H38" i="11" s="1"/>
  <c r="F39" i="11"/>
  <c r="F40" i="11"/>
  <c r="F43" i="11"/>
  <c r="F29" i="11"/>
  <c r="H19" i="11"/>
  <c r="F63" i="1"/>
  <c r="F68" i="1" l="1"/>
  <c r="F71" i="1" s="1"/>
  <c r="U10" i="23"/>
  <c r="H34" i="11"/>
  <c r="F44" i="11"/>
  <c r="H40" i="11"/>
  <c r="G40" i="11"/>
  <c r="H36" i="11"/>
  <c r="G36" i="11"/>
  <c r="G29" i="11"/>
  <c r="H29" i="11"/>
  <c r="H39" i="11"/>
  <c r="G39" i="11"/>
  <c r="G32" i="11"/>
  <c r="H32" i="11"/>
  <c r="H43" i="11"/>
  <c r="G43" i="11"/>
  <c r="V8" i="23" l="1"/>
  <c r="V9" i="23"/>
  <c r="V7" i="23"/>
  <c r="F45" i="11"/>
  <c r="H44" i="11"/>
  <c r="C47" i="11"/>
  <c r="G44" i="11"/>
  <c r="F69" i="1"/>
  <c r="F70" i="1" s="1"/>
  <c r="F74" i="1"/>
  <c r="F46" i="11"/>
  <c r="B20" i="1" l="1"/>
  <c r="F72" i="1"/>
  <c r="E50" i="11" s="1"/>
  <c r="H46" i="11"/>
  <c r="G46" i="11"/>
  <c r="G30" i="11"/>
  <c r="G31" i="11"/>
  <c r="G34" i="11"/>
  <c r="G35" i="11"/>
  <c r="G37" i="11"/>
  <c r="G38" i="11"/>
  <c r="F26" i="11" l="1"/>
  <c r="H45" i="11"/>
  <c r="G45" i="11"/>
  <c r="H20" i="11"/>
  <c r="G20" i="11"/>
  <c r="H22" i="11"/>
  <c r="G22" i="11"/>
  <c r="H24" i="11"/>
  <c r="G24" i="11"/>
  <c r="H23" i="11"/>
  <c r="G23" i="11"/>
  <c r="H21" i="11"/>
  <c r="G21" i="11"/>
  <c r="F50" i="11" l="1"/>
  <c r="F56" i="11" s="1"/>
  <c r="H56" i="11" s="1"/>
  <c r="G26" i="11"/>
  <c r="H26" i="11"/>
  <c r="F47" i="11"/>
  <c r="G47" i="11" s="1"/>
  <c r="B12" i="11"/>
  <c r="G56" i="11" l="1"/>
  <c r="H47" i="11"/>
  <c r="F49" i="11"/>
  <c r="F57" i="11" s="1"/>
  <c r="H57" i="11" l="1"/>
  <c r="G57" i="11"/>
  <c r="G49" i="11"/>
  <c r="H49" i="11"/>
  <c r="B13" i="11"/>
  <c r="H50" i="11" l="1"/>
  <c r="G50" i="11" l="1"/>
  <c r="B14" i="11" l="1"/>
  <c r="B8" i="11" l="1"/>
  <c r="B21" i="1" l="1"/>
  <c r="B22" i="1" s="1"/>
  <c r="B28" i="1" s="1"/>
  <c r="B9" i="11"/>
  <c r="B27" i="1" l="1"/>
</calcChain>
</file>

<file path=xl/comments1.xml><?xml version="1.0" encoding="utf-8"?>
<comments xmlns="http://schemas.openxmlformats.org/spreadsheetml/2006/main">
  <authors>
    <author>Jonas Fjertorp</author>
  </authors>
  <commentList>
    <comment ref="E53" authorId="0" shapeId="0">
      <text>
        <r>
          <rPr>
            <sz val="9"/>
            <color indexed="81"/>
            <rFont val="Tahoma"/>
            <family val="2"/>
          </rPr>
          <t>Minst 220 kr per timme (inkl. sociala avgifter och försäkringar)</t>
        </r>
      </text>
    </comment>
  </commentList>
</comments>
</file>

<file path=xl/comments2.xml><?xml version="1.0" encoding="utf-8"?>
<comments xmlns="http://schemas.openxmlformats.org/spreadsheetml/2006/main">
  <authors>
    <author>Victoria Ohlsson</author>
  </authors>
  <commentList>
    <comment ref="C11" authorId="0" shapeId="0">
      <text>
        <r>
          <rPr>
            <b/>
            <sz val="9"/>
            <color indexed="81"/>
            <rFont val="Tahoma"/>
            <family val="2"/>
          </rPr>
          <t>Victoria Ohlsson:</t>
        </r>
        <r>
          <rPr>
            <sz val="9"/>
            <color indexed="81"/>
            <rFont val="Tahoma"/>
            <family val="2"/>
          </rPr>
          <t xml:space="preserve">
Förpackning 100 ml, men innehåller 50ml för att blanda med Circoflex. I förpackning 50 doser.</t>
        </r>
      </text>
    </comment>
  </commentList>
</comments>
</file>

<file path=xl/comments3.xml><?xml version="1.0" encoding="utf-8"?>
<comments xmlns="http://schemas.openxmlformats.org/spreadsheetml/2006/main">
  <authors>
    <author>Victoria Ohlsson</author>
  </authors>
  <commentList>
    <comment ref="A17" authorId="0" shapeId="0">
      <text>
        <r>
          <rPr>
            <b/>
            <sz val="9"/>
            <color indexed="81"/>
            <rFont val="Tahoma"/>
            <family val="2"/>
          </rPr>
          <t>Victoria Ohlsson:</t>
        </r>
        <r>
          <rPr>
            <sz val="9"/>
            <color indexed="81"/>
            <rFont val="Tahoma"/>
            <family val="2"/>
          </rPr>
          <t xml:space="preserve">
Inkluderar Planering, journalföring, produktionsuppföljning, arbetsmöten, besök, utbildning verktyg
</t>
        </r>
      </text>
    </comment>
    <comment ref="R17" authorId="0" shapeId="0">
      <text>
        <r>
          <rPr>
            <b/>
            <sz val="9"/>
            <color indexed="81"/>
            <rFont val="Tahoma"/>
            <family val="2"/>
          </rPr>
          <t>Victoria Ohlsson:</t>
        </r>
        <r>
          <rPr>
            <sz val="9"/>
            <color indexed="81"/>
            <rFont val="Tahoma"/>
            <family val="2"/>
          </rPr>
          <t xml:space="preserve">
Inkluderar Planering, journalföring, produktionsuppföljning, arbetsmöten, besök, utbildning verktyg
</t>
        </r>
      </text>
    </comment>
    <comment ref="W17" authorId="0" shapeId="0">
      <text>
        <r>
          <rPr>
            <b/>
            <sz val="9"/>
            <color indexed="81"/>
            <rFont val="Tahoma"/>
            <family val="2"/>
          </rPr>
          <t>Victoria Ohlsson:</t>
        </r>
        <r>
          <rPr>
            <sz val="9"/>
            <color indexed="81"/>
            <rFont val="Tahoma"/>
            <family val="2"/>
          </rPr>
          <t xml:space="preserve">
Inkluderar Planering, journalföring, produktionsuppföljning, arbetsmöten, besök, utbildning verktyg
</t>
        </r>
      </text>
    </comment>
    <comment ref="A27" authorId="0" shapeId="0">
      <text>
        <r>
          <rPr>
            <b/>
            <sz val="9"/>
            <color indexed="81"/>
            <rFont val="Tahoma"/>
            <family val="2"/>
          </rPr>
          <t>Victoria Ohlsson:</t>
        </r>
        <r>
          <rPr>
            <sz val="9"/>
            <color indexed="81"/>
            <rFont val="Tahoma"/>
            <family val="2"/>
          </rPr>
          <t xml:space="preserve">
2 min/ prod smg, om dräktiga gylter 0,3-1,2 min eller alternerad återkorsning 3,2-7,2 min</t>
        </r>
      </text>
    </comment>
  </commentList>
</comments>
</file>

<file path=xl/sharedStrings.xml><?xml version="1.0" encoding="utf-8"?>
<sst xmlns="http://schemas.openxmlformats.org/spreadsheetml/2006/main" count="657" uniqueCount="463">
  <si>
    <t>Total yta</t>
  </si>
  <si>
    <t>m2</t>
  </si>
  <si>
    <t>Byggdelar</t>
  </si>
  <si>
    <t>Utgift</t>
  </si>
  <si>
    <t>Kr/enhet</t>
  </si>
  <si>
    <t>Antal/yta</t>
  </si>
  <si>
    <t>Not</t>
  </si>
  <si>
    <t>Markarbete</t>
  </si>
  <si>
    <t>Byggnad</t>
  </si>
  <si>
    <t>Personalutrymmen</t>
  </si>
  <si>
    <t>Installationer</t>
  </si>
  <si>
    <t>VA-installationer</t>
  </si>
  <si>
    <t>El-installationer</t>
  </si>
  <si>
    <t>Ventilation</t>
  </si>
  <si>
    <t>Gödselvårdsanläggning</t>
  </si>
  <si>
    <t>Utgödsling</t>
  </si>
  <si>
    <t>Gödselpump</t>
  </si>
  <si>
    <t>Gödselbrunn</t>
  </si>
  <si>
    <t>Byggledning</t>
  </si>
  <si>
    <t>Markarbete för byggnader &amp; brunnar</t>
  </si>
  <si>
    <t>Vägar &amp; planer</t>
  </si>
  <si>
    <t>Montering</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</si>
  <si>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</si>
  <si>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</si>
  <si>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</si>
  <si>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</si>
  <si>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</si>
  <si>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</si>
  <si>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</si>
  <si>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</si>
  <si>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</si>
  <si>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</si>
  <si>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</si>
  <si>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</si>
  <si>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</si>
  <si>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</si>
  <si>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</si>
  <si>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</si>
  <si>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</si>
  <si>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</si>
  <si>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</si>
  <si>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</si>
  <si>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Smågrisar</t>
  </si>
  <si>
    <t>st</t>
  </si>
  <si>
    <t>Utslagssugga, kassation</t>
  </si>
  <si>
    <t>Nationellt stöd</t>
  </si>
  <si>
    <t>Miljöstöd, djurens välbefinnande</t>
  </si>
  <si>
    <t>Rekrytering</t>
  </si>
  <si>
    <t>kg</t>
  </si>
  <si>
    <t>Strömedel</t>
  </si>
  <si>
    <t>El</t>
  </si>
  <si>
    <t>kWh</t>
  </si>
  <si>
    <t>Produktionsrådgivning</t>
  </si>
  <si>
    <t>Semin</t>
  </si>
  <si>
    <t>SUMMA SÄRKOSTNADER 1</t>
  </si>
  <si>
    <t>Ränta djurkapital</t>
  </si>
  <si>
    <t>SUMMA SÄRKOSTNADER 2</t>
  </si>
  <si>
    <t>Byggnader, avskr + ränta</t>
  </si>
  <si>
    <t>tim</t>
  </si>
  <si>
    <t>SUMMA SÄRKOSTNADER 3</t>
  </si>
  <si>
    <t>Antal smågrisar per sugga och år</t>
  </si>
  <si>
    <t>smågrisar</t>
  </si>
  <si>
    <t>Grundförutsättningar</t>
  </si>
  <si>
    <t>Arbete (inkl. eget arbete)</t>
  </si>
  <si>
    <t>Pris per enhet</t>
  </si>
  <si>
    <t>Övriga kostnader</t>
  </si>
  <si>
    <t>Utslagssugga, kött</t>
  </si>
  <si>
    <t>Nyckeltal</t>
  </si>
  <si>
    <t>Försäkringar för stallbyggnad</t>
  </si>
  <si>
    <t>Försäkringar för djur</t>
  </si>
  <si>
    <t>Investeringsstöd enligt schablon, totalt</t>
  </si>
  <si>
    <t>Investeringsutgift per djurplats utan stöd</t>
  </si>
  <si>
    <t>Flytgödsel, svin, 8% ts</t>
  </si>
  <si>
    <t>---</t>
  </si>
  <si>
    <t>Summa kostnader</t>
  </si>
  <si>
    <t>Driftkalkyl - Smågrisar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</si>
  <si>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</si>
  <si>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</si>
  <si>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</si>
  <si>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</si>
  <si>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</si>
  <si>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</si>
  <si>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</si>
  <si>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</si>
  <si>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</si>
  <si>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</si>
  <si>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</si>
  <si>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</si>
  <si>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</si>
  <si>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</si>
  <si>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Kronor per sugga</t>
  </si>
  <si>
    <t>Kronor per smågris</t>
  </si>
  <si>
    <t>Summa intäkter</t>
  </si>
  <si>
    <t>TB 1</t>
  </si>
  <si>
    <t>TB 2</t>
  </si>
  <si>
    <t>TB 3</t>
  </si>
  <si>
    <t>Täckningsbidrag per sugga</t>
  </si>
  <si>
    <t>Investeringskalkyl</t>
  </si>
  <si>
    <t>Värde</t>
  </si>
  <si>
    <t>Yta stall</t>
  </si>
  <si>
    <t>Yta serviceutrymmen &amp; övriga utrymmen (exklusive utrymmen för visning)</t>
  </si>
  <si>
    <t>Yta utrymmen för visning</t>
  </si>
  <si>
    <t>INVESTERINGSUTGIFT</t>
  </si>
  <si>
    <t>GRUNDDATA</t>
  </si>
  <si>
    <t>SÄRINTÄKTER</t>
  </si>
  <si>
    <t>SÄRKOSTNADER</t>
  </si>
  <si>
    <t>Driftsledning</t>
  </si>
  <si>
    <t>Kvant per sugga</t>
  </si>
  <si>
    <t xml:space="preserve">Pris per enhet </t>
  </si>
  <si>
    <t>Ersättning för smärtfri kastrering / vaccinering</t>
  </si>
  <si>
    <t>Veterinär &amp; medicin</t>
  </si>
  <si>
    <t>mjölkkor</t>
  </si>
  <si>
    <t>Ränta rörelsekapital</t>
  </si>
  <si>
    <t>Nettonuvärde vid 5 % avkastning</t>
  </si>
  <si>
    <t>Investeringsutgift (efter investeringsstöd enligt schablon)</t>
  </si>
  <si>
    <t>Driftnetto per år enligt driftkalkyl</t>
  </si>
  <si>
    <t>Driftnetto per år exklusive avskrivningar och ränta</t>
  </si>
  <si>
    <t>Resultat för stallet</t>
  </si>
  <si>
    <t>Vinstmarginal i stallkalkylen</t>
  </si>
  <si>
    <t>Byggnader, underhåll</t>
  </si>
  <si>
    <t>Löner</t>
  </si>
  <si>
    <t>&lt;- Välj djurslag i rullistan</t>
  </si>
  <si>
    <t>m3</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</si>
  <si>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</si>
  <si>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</si>
  <si>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</si>
  <si>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</si>
  <si>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Victoria Ohlsson</t>
  </si>
  <si>
    <t>Fredrik Fredbo</t>
  </si>
  <si>
    <t>Abetong</t>
  </si>
  <si>
    <t>HKScan Sweden</t>
  </si>
  <si>
    <t>Kimmo Hapaanen</t>
  </si>
  <si>
    <t>HKScan Finland</t>
  </si>
  <si>
    <t>Carl-Johan Ehlorsson</t>
  </si>
  <si>
    <t>Gård&amp;Djurhälsan</t>
  </si>
  <si>
    <t>Peter Berg</t>
  </si>
  <si>
    <t>egenföretagare</t>
  </si>
  <si>
    <t>Noter</t>
  </si>
  <si>
    <t>Kommentar</t>
  </si>
  <si>
    <t>Extra djuromsorg för suggor</t>
  </si>
  <si>
    <t>Typ av post</t>
  </si>
  <si>
    <t>Djupströbädd</t>
  </si>
  <si>
    <t>Referenser</t>
  </si>
  <si>
    <t>Gödselproduktion, lagringsbehov och djurtäthet i olika djurhållningssystem med grisar, Rapport 2001:13, Jordbruksverket</t>
  </si>
  <si>
    <t>Gödsel och miljö 2014, Johannes Eskilsson, Växt- och miljöavdelningen, Jordbruksverket</t>
  </si>
  <si>
    <t>Maskinkostnader 2017, Maskinkalkylgruppen &amp; HIR Skåne</t>
  </si>
  <si>
    <t>Källa</t>
  </si>
  <si>
    <t>Maskinkostnader 2017</t>
  </si>
  <si>
    <t>Prestarter</t>
  </si>
  <si>
    <t>Tillväxtfoder</t>
  </si>
  <si>
    <t>Energiförbrukning i jordbrukets driftsbyggnader, Torsten Hörndahl, Rapport 145, Alnarp 2007</t>
  </si>
  <si>
    <t>Utfodring 13, Ventilation 80, utgödling 12, Belysning 78, Värmelampor 310, Vatten 4, Tvätt 7, Personal 15, Övrigt 66 =summa 585 kWh/SIP</t>
  </si>
  <si>
    <t>Arbetstid</t>
  </si>
  <si>
    <t>Arbetsmoment</t>
  </si>
  <si>
    <t>Pig-rapport</t>
  </si>
  <si>
    <t>Smågris</t>
  </si>
  <si>
    <t>satelit</t>
  </si>
  <si>
    <t>Diff</t>
  </si>
  <si>
    <t>Utgödsling &amp; tillsyn</t>
  </si>
  <si>
    <t>Halmning</t>
  </si>
  <si>
    <t>Tillsyn</t>
  </si>
  <si>
    <t>Sjukbehandling</t>
  </si>
  <si>
    <t>Brunstkontroll m betäckning &amp; seminering</t>
  </si>
  <si>
    <t>Grisning</t>
  </si>
  <si>
    <t>Vägning &amp; leverans</t>
  </si>
  <si>
    <t>Sortering</t>
  </si>
  <si>
    <t>Tvätt</t>
  </si>
  <si>
    <t>Utgödsling av ströbädd</t>
  </si>
  <si>
    <t>Reperation &amp; underhåll</t>
  </si>
  <si>
    <t>Karantän</t>
  </si>
  <si>
    <t>Övrigt</t>
  </si>
  <si>
    <t>Min per prod. Smg</t>
  </si>
  <si>
    <t>OBS 23 smg/sugga</t>
  </si>
  <si>
    <t>Ny est. tid</t>
  </si>
  <si>
    <t>Timmar per sugga &amp; år</t>
  </si>
  <si>
    <t>Andel tid</t>
  </si>
  <si>
    <t>Betäckning &amp; Sin</t>
  </si>
  <si>
    <t>Tillväxt</t>
  </si>
  <si>
    <t>Gemensam tid</t>
  </si>
  <si>
    <t>Uträkning arbetstid per vecka i en besättning på 400 suggor (h)</t>
  </si>
  <si>
    <t>Antal anställda</t>
  </si>
  <si>
    <t>satellit</t>
  </si>
  <si>
    <t>ej rep, ibland tvätt</t>
  </si>
  <si>
    <t>suggor/anst</t>
  </si>
  <si>
    <t>anst/400 suggor</t>
  </si>
  <si>
    <t>Uträkning tid</t>
  </si>
  <si>
    <t>min/prod smg</t>
  </si>
  <si>
    <t>enl pig-rapport</t>
  </si>
  <si>
    <t>Kommentarer</t>
  </si>
  <si>
    <t>Finns inga gyltor i modellen</t>
  </si>
  <si>
    <t>Nytt stall, bör därför vara minimalt. Kalkylen ska visa de första årens kalkyl inte över tid</t>
  </si>
  <si>
    <t>Tycker det blir för mycket i min ändrade kalkylering per sugga, men vi har ju många smågrisar att ta hand om.</t>
  </si>
  <si>
    <t>Utfodring</t>
  </si>
  <si>
    <t>Summa</t>
  </si>
  <si>
    <t>min/smg</t>
  </si>
  <si>
    <t>h/vecka</t>
  </si>
  <si>
    <t>h/sugga</t>
  </si>
  <si>
    <t>h/mån</t>
  </si>
  <si>
    <t>h/år</t>
  </si>
  <si>
    <t>Uträkning: 8 kr/kg i intäkt slakt, ca vikt/sugga 180 kg</t>
  </si>
  <si>
    <t>Beräknat på notering och tillägg de senaste åren - HKScan</t>
  </si>
  <si>
    <t>HKScan</t>
  </si>
  <si>
    <t>Jordbruksverket</t>
  </si>
  <si>
    <t>Fösta djuret 669 kr/st, därutöver 513 kr/djur. Smågrisar 100 kg 492 kr, därefter per påbörjat 100 kg 299 kr.</t>
  </si>
  <si>
    <t>Svensk Lantbrukstjänst AB 170830 (http://www.svensklantbrukstjanst.se/prislista/index.html)</t>
  </si>
  <si>
    <t>Svenska Köttföretagen 170830</t>
  </si>
  <si>
    <t xml:space="preserve">Pris på dräktig gylta som är redo att gå in i produktion. Uppskattad till 5500 kr, för närvarande 5350 kr, men priser rör sig upp och ner, dessutom tillkommer tansportkostnad. </t>
  </si>
  <si>
    <t>Smittsäkrad besättning</t>
  </si>
  <si>
    <t>Smågrisstall - HKScan</t>
  </si>
  <si>
    <t>Foderåtgång</t>
  </si>
  <si>
    <t>Avvanda suggor</t>
  </si>
  <si>
    <t>Dag</t>
  </si>
  <si>
    <t>MJ NE</t>
  </si>
  <si>
    <t>Dräktiga suggor</t>
  </si>
  <si>
    <t>MJ NE/kg foder</t>
  </si>
  <si>
    <t>Dräktighetsfoder</t>
  </si>
  <si>
    <t>Digivningsfoder</t>
  </si>
  <si>
    <t>WinPig-resultat</t>
  </si>
  <si>
    <t>WinPig bästa 25%</t>
  </si>
  <si>
    <t>Framtidensstall</t>
  </si>
  <si>
    <t>Producerade smg/årssugga</t>
  </si>
  <si>
    <t>Antal årskullar/årssugga</t>
  </si>
  <si>
    <t>Andel gyltkullar</t>
  </si>
  <si>
    <t>Digivningstid, dagar</t>
  </si>
  <si>
    <t>Antal avvanda/kull</t>
  </si>
  <si>
    <t>Medicin Smågrisbesättningar</t>
  </si>
  <si>
    <t>Djur som behandlas</t>
  </si>
  <si>
    <t>Dos (ml)</t>
  </si>
  <si>
    <t>Kr/förpackning</t>
  </si>
  <si>
    <t>Kostnad/årssugga</t>
  </si>
  <si>
    <t>Parvovirus</t>
  </si>
  <si>
    <t>Rödsjuka</t>
  </si>
  <si>
    <t>Suggan</t>
  </si>
  <si>
    <t>Smågrisen</t>
  </si>
  <si>
    <t>PCV2 (PMWS)</t>
  </si>
  <si>
    <t>Ingelvac CircoFlex</t>
  </si>
  <si>
    <t>Från 3 veckors ålder</t>
  </si>
  <si>
    <t>Besättningsveterinär, 300 suggor, besök var 5:e vecka = 25 000 kr/år</t>
  </si>
  <si>
    <t>Eryseng Parvo</t>
  </si>
  <si>
    <t>2 veckor innan avvänjning</t>
  </si>
  <si>
    <t>Avmaskning</t>
  </si>
  <si>
    <t>Axilur 4 %</t>
  </si>
  <si>
    <t>7-10 dagar innan grisning</t>
  </si>
  <si>
    <t>Förpackningsstorlek (ml/g)</t>
  </si>
  <si>
    <t>Metacam</t>
  </si>
  <si>
    <t>Lidokel</t>
  </si>
  <si>
    <t>vid kastrering</t>
  </si>
  <si>
    <t>Spädgrisdiarré</t>
  </si>
  <si>
    <t>P Porcoli DF</t>
  </si>
  <si>
    <t>Före grisning</t>
  </si>
  <si>
    <t>Järn</t>
  </si>
  <si>
    <t>Gleptosil</t>
  </si>
  <si>
    <t>Efter födsel</t>
  </si>
  <si>
    <t>Behandling</t>
  </si>
  <si>
    <t>Preparat</t>
  </si>
  <si>
    <t>Behandlingstillfälle</t>
  </si>
  <si>
    <t>Summa vaccin</t>
  </si>
  <si>
    <t>Tillväxtgris</t>
  </si>
  <si>
    <t>Hangris</t>
  </si>
  <si>
    <t>Pellesyndromet</t>
  </si>
  <si>
    <t>Sugga</t>
  </si>
  <si>
    <t>MMA</t>
  </si>
  <si>
    <t>Hälta</t>
  </si>
  <si>
    <t>Foderleda</t>
  </si>
  <si>
    <t>Ledinflammation</t>
  </si>
  <si>
    <t>Juverinflammation</t>
  </si>
  <si>
    <t>Kastrering smärtlindring</t>
  </si>
  <si>
    <t>Kastrering lokalbedövning</t>
  </si>
  <si>
    <t>Andel beh.</t>
  </si>
  <si>
    <t>kr/kg</t>
  </si>
  <si>
    <t>MJ NE/kg</t>
  </si>
  <si>
    <t>Lars Hermansson, Produktchef foder, Svenska Lantmännen, September 2017</t>
  </si>
  <si>
    <t>Ref.period 2016-idag</t>
  </si>
  <si>
    <t>Kg foder/ omg</t>
  </si>
  <si>
    <t>Kr/dag</t>
  </si>
  <si>
    <t>Kostnad foder/sugga &amp; år:</t>
  </si>
  <si>
    <t>Suggfoder, dräktighetsfoder</t>
  </si>
  <si>
    <t>Suggfoder, digivningsfoder</t>
  </si>
  <si>
    <t>Foder per sugga &amp; år</t>
  </si>
  <si>
    <t>Dräktighet</t>
  </si>
  <si>
    <t>Digivning</t>
  </si>
  <si>
    <t>Kr/MJ NE</t>
  </si>
  <si>
    <t>Kullar/år</t>
  </si>
  <si>
    <t>För att smågrisen ska komma igång och äta behövs ett riktigt bra foder. Här har vi räknat på HKScans prestarter Porkus Prima.</t>
  </si>
  <si>
    <t>HKScan, Anna-Maria Larsson</t>
  </si>
  <si>
    <t xml:space="preserve">388 MJ NE, basserat på gamla PigWin siffror och omräknat för dagens MJ NE-värde. </t>
  </si>
  <si>
    <t>Omlöpningsprocent</t>
  </si>
  <si>
    <t>HKScan + WinPig + Svenska Köttföretagen + Victoria Ohlsson</t>
  </si>
  <si>
    <t>Suggan minus rekryteringen per omgång, gånger antal kullar per år med tillägg för omlöpningsprocenten. Detta multipliceras med 3, då det krävs minst 2-3 doser per semineringstillfälle. Kostnad per dos beräknas till 50 kr, vilket då inkluderar semineringsdosen, porto, expeditionsavgifter och katetrar och övrigt engångsmaterial.</t>
  </si>
  <si>
    <t>Dödlighet smg</t>
  </si>
  <si>
    <t>Dödlighet tilväxt</t>
  </si>
  <si>
    <t>Antal levandefödda/kull</t>
  </si>
  <si>
    <t>Antal levererade smg/kull</t>
  </si>
  <si>
    <t>Halm/dag, kg</t>
  </si>
  <si>
    <t>Summa halm/år</t>
  </si>
  <si>
    <t>Antal dagar/omgång</t>
  </si>
  <si>
    <t>Flytgödsel/ prod period, m3</t>
  </si>
  <si>
    <t>Djupströbädd/ prod period, m3</t>
  </si>
  <si>
    <t>Sinsugga, djupströbädd</t>
  </si>
  <si>
    <t>ESF, dräktighet</t>
  </si>
  <si>
    <t>Lagring 10 mån</t>
  </si>
  <si>
    <t>av tiden som sinsugga vid insemination</t>
  </si>
  <si>
    <t>Tvättvatten (200 l/tillfälle och box)</t>
  </si>
  <si>
    <t>Visma bokföringsprogram, WinPig</t>
  </si>
  <si>
    <t>Visma bokföringsprogram 99 kr/mån(1188 kr/år), WinPig Sugg, årsavgift 2800 kr (6200 kr i engångskostnad), tilläggspaket Medicin 1900 kr)</t>
  </si>
  <si>
    <t>Datorer och övriga inventarier</t>
  </si>
  <si>
    <t>Hälsokontroll gris</t>
  </si>
  <si>
    <t>Länsförsäkringar</t>
  </si>
  <si>
    <t>Försäkringar - Lantbruksförsäkring inkl djur (stöld, brand etc)</t>
  </si>
  <si>
    <t>Tillväxtbox</t>
  </si>
  <si>
    <t xml:space="preserve">Grisningsbox </t>
  </si>
  <si>
    <t>Summa djupströbädd/år m3</t>
  </si>
  <si>
    <t>Summa flytgödsel/år m3</t>
  </si>
  <si>
    <t>Inhyrda maskiner</t>
  </si>
  <si>
    <t>Utlastning av djupströbädd - Lastmaskin 4 WD med redskap &amp; bränsle (102+108) kr/h</t>
  </si>
  <si>
    <t>G&amp;D</t>
  </si>
  <si>
    <r>
      <t>Värde:</t>
    </r>
    <r>
      <rPr>
        <b/>
        <sz val="11"/>
        <color theme="9"/>
        <rFont val="Calibri"/>
        <family val="2"/>
        <scheme val="minor"/>
      </rPr>
      <t xml:space="preserve"> 101 kr/ton,</t>
    </r>
    <r>
      <rPr>
        <sz val="11"/>
        <color theme="1"/>
        <rFont val="Calibri"/>
        <family val="2"/>
        <scheme val="minor"/>
      </rPr>
      <t xml:space="preserve"> Uppskattad vikt/m3=600 kg    Traktorkostnad=550 kr/h, fastgödselspridare 245 kr/h Lastmaskin kostnad 490 kr/h                                         SUMMA (1285 kr/3lass) / 21,6 ton (12m3) = </t>
    </r>
    <r>
      <rPr>
        <b/>
        <sz val="11"/>
        <color rgb="FFC00000"/>
        <rFont val="Calibri"/>
        <family val="2"/>
        <scheme val="minor"/>
      </rPr>
      <t>20 kr/ton</t>
    </r>
  </si>
  <si>
    <t>lagringsbehov</t>
  </si>
  <si>
    <r>
      <t xml:space="preserve">Värde: 57 kr/ton 5% ts    kostnad/m3: 25,40                traktor inkl förare&amp;bränsle 130kW: 735 kr/h, tunna 18m3: 395kr/h, omrörare: 87 kr/h+traktor 50 kW:83+72 SUMMA KOST: 1372 kr/3 lass per timme= 457 kr </t>
    </r>
    <r>
      <rPr>
        <sz val="11"/>
        <color rgb="FFFF0000"/>
        <rFont val="Calibri"/>
        <family val="2"/>
        <scheme val="minor"/>
      </rPr>
      <t>Omräkning värde: 57/5 ts x 8 ts =91 kr/ton</t>
    </r>
  </si>
  <si>
    <t>HKScan foderkurvor och foderpris från Svenska Lantmännen</t>
  </si>
  <si>
    <t>HKScan &amp; Lantmännen</t>
  </si>
  <si>
    <t>Anna-Maria Larsson, Victoria Ohlsson &amp; PigWin &amp; Lantmännen</t>
  </si>
  <si>
    <t xml:space="preserve">Medel notering smg 550 kr sedan mar 15-mar17, tillkommer tillägg. </t>
  </si>
  <si>
    <t>Priser på el för industrikunder</t>
  </si>
  <si>
    <t>Tabellen visar genomsnittligt totalpris på el som betalas av industrikunder, per halvår. I totalpriset ingår el, nät, elcertifikat och elskatt (moms ingår inte). Priset anges i öre/kWh.</t>
  </si>
  <si>
    <t>Förbrukarkategori</t>
  </si>
  <si>
    <t>IA</t>
  </si>
  <si>
    <t>IB</t>
  </si>
  <si>
    <t>IC</t>
  </si>
  <si>
    <t>ID</t>
  </si>
  <si>
    <t>IE</t>
  </si>
  <si>
    <t>IF</t>
  </si>
  <si>
    <t>januari – juni</t>
  </si>
  <si>
    <t>juli – december</t>
  </si>
  <si>
    <t>Definitioner</t>
  </si>
  <si>
    <t>Förbrukar-kategori</t>
  </si>
  <si>
    <t>Årlig konsumtion, MWh</t>
  </si>
  <si>
    <t>&lt; 20</t>
  </si>
  <si>
    <t>20 - &lt; 500</t>
  </si>
  <si>
    <t>500 - &lt; 2 000</t>
  </si>
  <si>
    <t>2 000 - &lt; 20 000</t>
  </si>
  <si>
    <t>20 000 - &lt; 70 000</t>
  </si>
  <si>
    <t>70 000 - &lt; 150 000</t>
  </si>
  <si>
    <t xml:space="preserve">Källa: </t>
  </si>
  <si>
    <t>http://www.scb.se/hitta-statistik/statistik-efter-amne/energi/prisutvecklingen-inom-energiomradet/energipriser-pa-naturgas-och-el/pong/tabell-och-diagram/genomsnittspriser-per-halvar-2007/priser-pa-el-for-industrikunder-2007/</t>
  </si>
  <si>
    <t>Genomsnitt 2,5 år:</t>
  </si>
  <si>
    <t>Energiskatten på el är från den 1 juli 2017 32,5 öre/kWh exklusive moms (40,63 öre/kWh inklusive moms). Källa vattenfall 2017-09-12</t>
  </si>
  <si>
    <t>Du får tillbaka den energiskatt som du har betalat förutom 0,5 öre/kWh. Du betalar alltså energiskatt med 0,5 öre/kWh efter återbetalning. En förutsättning för att du ska få den lägre skatten är att du har rätt till statligt stöd. Källa skatteverket 2017-09-12</t>
  </si>
  <si>
    <t>Genomsnitt inkl avdrag:</t>
  </si>
  <si>
    <t>Belysning</t>
  </si>
  <si>
    <t>Värmelampor</t>
  </si>
  <si>
    <t>Uppvärmning (värmepump)</t>
  </si>
  <si>
    <t>Vatten</t>
  </si>
  <si>
    <t>Personal</t>
  </si>
  <si>
    <t>exkl värme</t>
  </si>
  <si>
    <t>Energivärde i olika bränsleslag</t>
  </si>
  <si>
    <t>Bränsleslag:</t>
  </si>
  <si>
    <t>Fukthalt:</t>
  </si>
  <si>
    <t>Ungefärlig energi/enhet:</t>
  </si>
  <si>
    <t>Briketter 1000 kg</t>
  </si>
  <si>
    <t>El 1000 kWh</t>
  </si>
  <si>
    <t>-</t>
  </si>
  <si>
    <t>ca. 35 %</t>
  </si>
  <si>
    <r>
      <t>Olja 1 m</t>
    </r>
    <r>
      <rPr>
        <vertAlign val="superscript"/>
        <sz val="11"/>
        <color theme="1"/>
        <rFont val="Calibri"/>
        <family val="2"/>
        <scheme val="minor"/>
      </rPr>
      <t>3</t>
    </r>
  </si>
  <si>
    <t>Pellets 1000 kg</t>
  </si>
  <si>
    <t>4-6%</t>
  </si>
  <si>
    <r>
      <t>Spån 1 m</t>
    </r>
    <r>
      <rPr>
        <vertAlign val="superscript"/>
        <sz val="11"/>
        <color theme="1"/>
        <rFont val="Calibri"/>
        <family val="2"/>
        <scheme val="minor"/>
      </rPr>
      <t>3</t>
    </r>
  </si>
  <si>
    <t>Säd havre 1 ton</t>
  </si>
  <si>
    <t>ca. 10 %</t>
  </si>
  <si>
    <r>
      <t>Ved björk 1 m</t>
    </r>
    <r>
      <rPr>
        <vertAlign val="superscript"/>
        <sz val="11"/>
        <color theme="1"/>
        <rFont val="Calibri"/>
        <family val="2"/>
        <scheme val="minor"/>
      </rPr>
      <t>3</t>
    </r>
  </si>
  <si>
    <t>Värmepump 1000 kWh</t>
  </si>
  <si>
    <t> Bensin 1m3</t>
  </si>
  <si>
    <t> Gasol ton</t>
  </si>
  <si>
    <t>http://www.nordicheating.se/information/allmaen-information/om-vaerme-och-energi.aspx</t>
  </si>
  <si>
    <t>ca</t>
  </si>
  <si>
    <r>
      <t>Flis 1m</t>
    </r>
    <r>
      <rPr>
        <b/>
        <vertAlign val="superscript"/>
        <sz val="11"/>
        <color theme="1"/>
        <rFont val="Calibri"/>
        <family val="2"/>
        <scheme val="minor"/>
      </rPr>
      <t>3</t>
    </r>
  </si>
  <si>
    <t>Gödselproduktion, lagringsbehov och djurtäthet i olika djurhållningssystem med grisar, Rapport 2001:13, Jordbruksverket, ´Maskinkostnader 2017</t>
  </si>
  <si>
    <r>
      <t xml:space="preserve">Halm: 1 kg/dag i grisningsbox (dränerande golv) </t>
    </r>
    <r>
      <rPr>
        <sz val="11"/>
        <color rgb="FF00B050"/>
        <rFont val="Calibri"/>
        <family val="2"/>
        <scheme val="minor"/>
      </rPr>
      <t>35 dagar</t>
    </r>
    <r>
      <rPr>
        <sz val="11"/>
        <color theme="1"/>
        <rFont val="Calibri"/>
        <family val="2"/>
        <scheme val="minor"/>
      </rPr>
      <t>, 0,05 kg/tillväxtgris&amp;dag</t>
    </r>
    <r>
      <rPr>
        <sz val="11"/>
        <color rgb="FF00B050"/>
        <rFont val="Calibri"/>
        <family val="2"/>
        <scheme val="minor"/>
      </rPr>
      <t xml:space="preserve"> 49 dagar</t>
    </r>
    <r>
      <rPr>
        <sz val="11"/>
        <color theme="1"/>
        <rFont val="Calibri"/>
        <family val="2"/>
        <scheme val="minor"/>
      </rPr>
      <t>, sinsuggor i djupströ (isolerad byggnad) 1,4 kg/sugga&amp;dag, sinsuggor ströad box 0,4 kg/sugga&amp;dag                                  Kostnad för pressning: 61 kr/bal, 250 kg/bal=0,24 kr/kg+0,3kr/kg i halmvärde=0,60 kr/kg</t>
    </r>
  </si>
  <si>
    <t>kWh enligt Totte</t>
  </si>
  <si>
    <t xml:space="preserve">Lastmaskin till djupströbädd, Certifiering, arbetskläder, bokföringskostnader, kadaver smågrisar, </t>
  </si>
  <si>
    <t>Smittsäkra</t>
  </si>
  <si>
    <t>Behand. kost/ djur</t>
  </si>
  <si>
    <t>årligt kontrollbesök 1600 kr &amp; adminavgift/år 950 kr</t>
  </si>
  <si>
    <t>Totalt veterinär, vaccineringar &amp; behandlingar/sugga &amp; år</t>
  </si>
  <si>
    <t>Ingår årlig avgift för administration och årligt besök. Ej anslutningsavgift.</t>
  </si>
  <si>
    <t>Ingår vaccin, besättningsveterinär, behandlingar, kastrering samt Hälsoprogramet.</t>
  </si>
  <si>
    <t>Dator uppskattat till 6000 kr &amp; skrivare 3000 kr; WinPig 6800 kr. Uppskattad  avskrivning 5 år.</t>
  </si>
  <si>
    <t>Försäkring djur, Katastrofförsäkring - HKScan försäkringssamarbete med Agria, plus hälsokontrollsförsäkring G&amp;D i samarbete med Agria</t>
  </si>
  <si>
    <t>HKScan och G&amp;D</t>
  </si>
  <si>
    <t>Inget för grisar för stödområde 9, Ölme-Kristinehamn.</t>
  </si>
  <si>
    <t>Övriga installationer (larm)</t>
  </si>
  <si>
    <t>Fodersilos (6 st)</t>
  </si>
  <si>
    <t>Skiold</t>
  </si>
  <si>
    <t>Grisningsavdelning</t>
  </si>
  <si>
    <t>Tillväxtavdelning</t>
  </si>
  <si>
    <t>Semineringsavdelning</t>
  </si>
  <si>
    <t>Transponder</t>
  </si>
  <si>
    <t>Montage</t>
  </si>
  <si>
    <t>Inredning</t>
  </si>
  <si>
    <t>Seminering</t>
  </si>
  <si>
    <t>Larm</t>
  </si>
  <si>
    <t>Silos</t>
  </si>
  <si>
    <t>Total montage</t>
  </si>
  <si>
    <t>Agrisys (ink montage)</t>
  </si>
  <si>
    <t>Lifsung</t>
  </si>
  <si>
    <t>LR-system</t>
  </si>
  <si>
    <t>Montage Skiold+LR</t>
  </si>
  <si>
    <t>Bopil</t>
  </si>
  <si>
    <t>timmar</t>
  </si>
  <si>
    <t>Uträkning ammoniak</t>
  </si>
  <si>
    <t>Tillväxtavd.</t>
  </si>
  <si>
    <t>Grisningsavd.</t>
  </si>
  <si>
    <t>Dräktighetsavd.</t>
  </si>
  <si>
    <t>Semineringsavd.</t>
  </si>
  <si>
    <t>Kg N (ammoniak) per årsugga med 30 grisar</t>
  </si>
  <si>
    <t>Kg N (ammoniak) per producerad smågris</t>
  </si>
  <si>
    <t>Kg N (ammoniak) totalt för alla smågrisar</t>
  </si>
  <si>
    <t>Kg N (ammoniak) per plats (34*3*24=2448 platser)</t>
  </si>
  <si>
    <t>Frånluftsenhet</t>
  </si>
  <si>
    <t>h/st</t>
  </si>
  <si>
    <t>Luftintag</t>
  </si>
  <si>
    <t>Servomotor</t>
  </si>
  <si>
    <t>Hydralgödsling, cylinder</t>
  </si>
  <si>
    <t>10 lömeter (ytterligare 10 m=5h</t>
  </si>
  <si>
    <t>Hydralaggregat</t>
  </si>
  <si>
    <t>Linspelutgödsling, stativ lintrummor</t>
  </si>
  <si>
    <t>Slädskrapor</t>
  </si>
  <si>
    <t>Spaltläggning</t>
  </si>
  <si>
    <t>/10 löpmenter</t>
  </si>
  <si>
    <t>Foderutrymmen</t>
  </si>
  <si>
    <t>Övriga serviceutrymmen</t>
  </si>
  <si>
    <t>Pumpbrunn</t>
  </si>
  <si>
    <t>Gödselledningar</t>
  </si>
  <si>
    <t>Smågrisbox</t>
  </si>
  <si>
    <t>Antal</t>
  </si>
  <si>
    <t>á-pris</t>
  </si>
  <si>
    <t>Foderutrustning</t>
  </si>
  <si>
    <t>Vent tillv+bb</t>
  </si>
  <si>
    <t>skiold</t>
  </si>
  <si>
    <t>antal</t>
  </si>
  <si>
    <t>Vent sin bet</t>
  </si>
  <si>
    <t>ink montage Agrisys</t>
  </si>
  <si>
    <t>JO</t>
  </si>
  <si>
    <t>Ventilation inkl montage</t>
  </si>
  <si>
    <t>Arbetskostnad</t>
  </si>
  <si>
    <t>kr/h</t>
  </si>
  <si>
    <t>summa h</t>
  </si>
  <si>
    <t>Uppskattad montage</t>
  </si>
  <si>
    <t>Montage gödselsystem</t>
  </si>
  <si>
    <t>Bedövning och smärtlindring: Ersättning för bedövnings &amp; Smärtlindringsmedel (0,90 kr/gris) + Sprutor&amp; kanyler:0,26 kr/behandlad gris + Arbete 4,45 kr/gris &amp; behandlingstillfälle</t>
  </si>
  <si>
    <t>WinPig</t>
  </si>
  <si>
    <t>Inredning  - Grisning-, tillväxts-, seminerings- och betäckningsavdelningar och fodersilos (exkl montage) samt foderutrustning (inkl montage)</t>
  </si>
  <si>
    <t>Dansk valuta mot svensk</t>
  </si>
  <si>
    <t>sjv 13 juli 2017</t>
  </si>
  <si>
    <t>min 75 % fastpris</t>
  </si>
  <si>
    <t>max 25 % timpris</t>
  </si>
  <si>
    <t>max 10 % uppskattning</t>
  </si>
  <si>
    <t>Andel</t>
  </si>
  <si>
    <t>Besparing 50% på uppvärmningen med en jordvärmepanna.</t>
  </si>
  <si>
    <t>Kostnad panna: 900.000 kr montage och klart</t>
  </si>
  <si>
    <t>2 pumpar inräknade, 162 kW totalt för att täcka. På 1 kvh timme får man 3,5 kWh.</t>
  </si>
  <si>
    <t>Vatten, framdragning/anslutning samt    VA- installationer</t>
  </si>
  <si>
    <t>Stallbyggnad inkl markarbete samt Pumpbrunn, Gödselledningar och Gödsellagring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</si>
</sst>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kr&quot;;[Red]\-#,##0\ &quot;kr&quot;"/>
    <numFmt numFmtId="8" formatCode="#,##0.00\ &quot;kr&quot;;[Red]\-#,##0.0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_ ;[Red]\-#,##0\ "/>
    <numFmt numFmtId="173" formatCode="#,##0.000"/>
    <numFmt numFmtId="174" formatCode="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4"/>
      <color rgb="FFFF0000"/>
      <name val="Calibri"/>
      <family val="2"/>
      <scheme val="minor"/>
    </font>
    <font>
      <b/>
      <sz val="11"/>
      <color theme="1"/>
      <name val="Calibri"/>
      <family val="2"/>
      <scheme val="minor"/>
    </font>
    <font>
      <b/>
      <sz val="9"/>
      <color indexed="81"/>
      <name val="Tahoma"/>
      <family val="2"/>
    </font>
    <font>
      <sz val="11"/>
      <color rgb="FF00B050"/>
      <name val="Calibri"/>
      <family val="2"/>
      <scheme val="minor"/>
    </font>
    <font>
      <b/>
      <sz val="18"/>
      <color theme="1"/>
      <name val="Calibri"/>
      <family val="2"/>
      <scheme val="minor"/>
    </font>
    <font>
      <b/>
      <u/>
      <sz val="16"/>
      <color theme="1"/>
      <name val="Calibri"/>
      <family val="2"/>
      <scheme val="minor"/>
    </font>
    <font>
      <sz val="8"/>
      <color theme="1"/>
      <name val="Calibri"/>
      <family val="2"/>
      <scheme val="minor"/>
    </font>
    <font>
      <sz val="8"/>
      <color theme="1"/>
      <name val="Cambria"/>
      <family val="1"/>
    </font>
    <font>
      <b/>
      <sz val="11"/>
      <color theme="9"/>
      <name val="Calibri"/>
      <family val="2"/>
      <scheme val="minor"/>
    </font>
    <font>
      <b/>
      <sz val="11"/>
      <color rgb="FFC00000"/>
      <name val="Calibri"/>
      <family val="2"/>
      <scheme val="minor"/>
    </font>
    <font>
      <b/>
      <sz val="16"/>
      <color theme="1"/>
      <name val="Calibri"/>
      <family val="2"/>
      <scheme val="minor"/>
    </font>
    <font>
      <b/>
      <sz val="14"/>
      <name val="Arial"/>
      <family val="2"/>
    </font>
    <font>
      <sz val="10"/>
      <name val="Arial"/>
      <family val="2"/>
    </font>
    <font>
      <sz val="8"/>
      <name val="Arial"/>
      <family val="2"/>
    </font>
    <font>
      <sz val="10"/>
      <color theme="9" tint="-0.499984740745262"/>
      <name val="Arial"/>
      <family val="2"/>
    </font>
    <font>
      <b/>
      <sz val="10"/>
      <name val="Arial"/>
      <family val="2"/>
    </font>
    <font>
      <sz val="10"/>
      <color rgb="FF172B47"/>
      <name val="Arial"/>
      <family val="2"/>
    </font>
    <font>
      <sz val="10"/>
      <color rgb="FF121212"/>
      <name val="Arial"/>
      <family val="2"/>
    </font>
    <font>
      <sz val="11"/>
      <name val="Calibri"/>
      <family val="2"/>
      <scheme val="minor"/>
    </font>
    <font>
      <b/>
      <sz val="11"/>
      <name val="Calibri"/>
      <family val="2"/>
      <scheme val="minor"/>
    </font>
    <font>
      <vertAlign val="superscript"/>
      <sz val="11"/>
      <color theme="1"/>
      <name val="Calibri"/>
      <family val="2"/>
      <scheme val="minor"/>
    </font>
    <font>
      <b/>
      <vertAlign val="superscript"/>
      <sz val="11"/>
      <color theme="1"/>
      <name val="Calibri"/>
      <family val="2"/>
      <scheme val="minor"/>
    </font>
    <font>
      <sz val="11"/>
      <color rgb="FFC00000"/>
      <name val="Calibri"/>
      <family val="2"/>
      <scheme val="minor"/>
    </font>
    <font>
      <b/>
      <sz val="11"/>
      <color theme="9" tint="-0.249977111117893"/>
      <name val="Calibri"/>
      <family val="2"/>
      <scheme val="minor"/>
    </font>
    <font>
      <sz val="11"/>
      <color theme="0"/>
      <name val="Cambria"/>
      <family val="1"/>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99"/>
        <bgColor indexed="64"/>
      </patternFill>
    </fill>
  </fills>
  <borders count="4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6" fillId="0" borderId="0"/>
  </cellStyleXfs>
  <cellXfs count="513">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Protection="1">
      <protection locked="0"/>
    </xf>
    <xf numFmtId="0" fontId="5" fillId="0" borderId="0" xfId="0" applyFont="1" applyBorder="1" applyAlignment="1" applyProtection="1">
      <alignment horizontal="right"/>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0" fontId="14" fillId="0" borderId="0" xfId="0" quotePrefix="1" applyFont="1" applyBorder="1" applyAlignment="1" applyProtection="1">
      <alignment horizontal="center"/>
      <protection locked="0"/>
    </xf>
    <xf numFmtId="0" fontId="5" fillId="0" borderId="0" xfId="0" applyFont="1" applyBorder="1" applyAlignment="1" applyProtection="1">
      <alignment horizontal="center"/>
      <protection locked="0"/>
    </xf>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8" fontId="5" fillId="0" borderId="0" xfId="1" applyNumberFormat="1" applyFont="1" applyFill="1" applyBorder="1" applyProtection="1">
      <protection locked="0"/>
    </xf>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2" fontId="13" fillId="3" borderId="1" xfId="2" applyNumberFormat="1" applyFont="1" applyFill="1" applyBorder="1" applyAlignment="1" applyProtection="1">
      <alignment horizontal="right"/>
    </xf>
    <xf numFmtId="172"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0" fontId="12" fillId="4" borderId="2" xfId="0" applyFont="1" applyFill="1" applyBorder="1" applyAlignment="1" applyProtection="1">
      <alignment horizontal="left" wrapText="1"/>
    </xf>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11"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8" fillId="5" borderId="13" xfId="0" applyFont="1" applyFill="1" applyBorder="1" applyAlignment="1" applyProtection="1">
      <alignment horizontal="center"/>
      <protection locked="0"/>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4" fillId="0" borderId="0" xfId="0" applyFont="1" applyAlignment="1" applyProtection="1">
      <alignment wrapText="1"/>
    </xf>
    <xf numFmtId="0" fontId="12" fillId="4" borderId="4" xfId="0" applyFont="1" applyFill="1" applyBorder="1" applyAlignment="1" applyProtection="1">
      <alignment horizontal="left"/>
    </xf>
    <xf numFmtId="0" fontId="12" fillId="0" borderId="0" xfId="0" applyFont="1" applyFill="1" applyBorder="1" applyAlignment="1" applyProtection="1">
      <alignment horizontal="center"/>
    </xf>
    <xf numFmtId="8" fontId="13" fillId="3" borderId="19" xfId="0" applyNumberFormat="1" applyFont="1" applyFill="1" applyBorder="1" applyProtection="1"/>
    <xf numFmtId="0" fontId="5" fillId="0" borderId="0" xfId="0" applyFont="1" applyFill="1" applyBorder="1" applyProtection="1"/>
    <xf numFmtId="0" fontId="4" fillId="0" borderId="10" xfId="0" applyFont="1" applyFill="1" applyBorder="1" applyProtection="1">
      <protection locked="0"/>
    </xf>
    <xf numFmtId="173" fontId="5" fillId="0" borderId="0" xfId="0" applyNumberFormat="1" applyFont="1" applyFill="1" applyBorder="1" applyAlignment="1" applyProtection="1">
      <alignment horizontal="right"/>
      <protection locked="0"/>
    </xf>
    <xf numFmtId="167" fontId="5" fillId="3" borderId="0" xfId="0" applyNumberFormat="1" applyFont="1" applyFill="1" applyBorder="1" applyProtection="1"/>
    <xf numFmtId="0" fontId="4" fillId="0" borderId="0" xfId="0" applyFont="1" applyProtection="1">
      <protection locked="0"/>
    </xf>
    <xf numFmtId="4" fontId="5" fillId="3" borderId="0" xfId="0" applyNumberFormat="1" applyFont="1" applyFill="1" applyBorder="1" applyProtection="1">
      <protection locked="0"/>
    </xf>
    <xf numFmtId="168" fontId="4" fillId="3" borderId="6" xfId="0" applyNumberFormat="1" applyFont="1" applyFill="1" applyBorder="1" applyProtection="1"/>
    <xf numFmtId="172" fontId="13" fillId="3" borderId="13" xfId="2" applyNumberFormat="1" applyFont="1" applyFill="1" applyBorder="1" applyAlignment="1" applyProtection="1">
      <alignment horizontal="right"/>
    </xf>
    <xf numFmtId="172" fontId="13" fillId="3" borderId="0" xfId="2" applyNumberFormat="1" applyFont="1" applyFill="1" applyBorder="1" applyAlignment="1" applyProtection="1">
      <alignment horizontal="right"/>
    </xf>
    <xf numFmtId="0" fontId="18" fillId="0" borderId="0" xfId="0" applyFont="1"/>
    <xf numFmtId="166" fontId="5" fillId="0" borderId="0" xfId="0" applyNumberFormat="1" applyFont="1" applyFill="1" applyBorder="1" applyProtection="1">
      <protection locked="0"/>
    </xf>
    <xf numFmtId="0" fontId="19" fillId="0" borderId="1" xfId="0" applyFont="1" applyBorder="1"/>
    <xf numFmtId="0" fontId="0" fillId="0" borderId="0" xfId="0" applyAlignment="1">
      <alignment horizontal="left" vertical="center" wrapText="1"/>
    </xf>
    <xf numFmtId="0" fontId="19"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24" xfId="0" applyBorder="1" applyAlignment="1">
      <alignment horizontal="left" vertical="center" wrapText="1"/>
    </xf>
    <xf numFmtId="0" fontId="0" fillId="0" borderId="24" xfId="0" applyBorder="1" applyAlignment="1">
      <alignment horizontal="center" vertical="center"/>
    </xf>
    <xf numFmtId="0" fontId="0" fillId="0" borderId="0" xfId="0" applyFill="1" applyBorder="1" applyAlignment="1">
      <alignment horizontal="left" vertical="center" wrapText="1"/>
    </xf>
    <xf numFmtId="174" fontId="0" fillId="0" borderId="0" xfId="0" applyNumberFormat="1"/>
    <xf numFmtId="174" fontId="0" fillId="0" borderId="0" xfId="0" applyNumberFormat="1" applyAlignment="1">
      <alignment horizontal="center"/>
    </xf>
    <xf numFmtId="0" fontId="0" fillId="0" borderId="0" xfId="0" applyAlignment="1">
      <alignment horizont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9" fontId="0" fillId="0" borderId="0" xfId="1" applyFont="1"/>
    <xf numFmtId="0" fontId="19" fillId="0" borderId="0" xfId="0" applyFont="1" applyBorder="1" applyAlignment="1">
      <alignment horizontal="center" vertical="center" wrapText="1"/>
    </xf>
    <xf numFmtId="0" fontId="0" fillId="0" borderId="0" xfId="0" applyBorder="1" applyAlignment="1">
      <alignment horizontal="center" vertical="center"/>
    </xf>
    <xf numFmtId="168" fontId="0" fillId="0" borderId="0" xfId="1" applyNumberFormat="1" applyFont="1" applyAlignment="1">
      <alignment horizontal="center" vertical="center"/>
    </xf>
    <xf numFmtId="168" fontId="0" fillId="0" borderId="24" xfId="1" applyNumberFormat="1" applyFont="1" applyBorder="1" applyAlignment="1">
      <alignment horizontal="center" vertical="center"/>
    </xf>
    <xf numFmtId="0" fontId="0" fillId="2" borderId="0" xfId="0" applyFill="1" applyAlignment="1">
      <alignment horizontal="center" vertical="center"/>
    </xf>
    <xf numFmtId="0" fontId="0" fillId="2" borderId="24" xfId="0" applyFill="1" applyBorder="1" applyAlignment="1">
      <alignment horizontal="center" vertical="center"/>
    </xf>
    <xf numFmtId="174" fontId="0" fillId="0" borderId="24" xfId="0" applyNumberFormat="1" applyBorder="1"/>
    <xf numFmtId="174" fontId="0" fillId="0" borderId="0" xfId="0" applyNumberFormat="1" applyAlignment="1">
      <alignment horizontal="center" vertical="center"/>
    </xf>
    <xf numFmtId="174" fontId="0" fillId="0" borderId="24" xfId="0" applyNumberFormat="1" applyBorder="1" applyAlignment="1">
      <alignment horizontal="center" vertical="center"/>
    </xf>
    <xf numFmtId="0" fontId="19" fillId="0" borderId="28" xfId="0" applyFont="1" applyBorder="1" applyAlignment="1">
      <alignment horizontal="left" vertical="center"/>
    </xf>
    <xf numFmtId="0" fontId="0" fillId="0" borderId="32"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39" xfId="0" applyBorder="1" applyAlignment="1">
      <alignment wrapText="1"/>
    </xf>
    <xf numFmtId="0" fontId="0" fillId="0" borderId="18" xfId="0" applyBorder="1" applyAlignment="1">
      <alignment horizontal="left" vertical="center" wrapText="1"/>
    </xf>
    <xf numFmtId="0" fontId="0" fillId="0" borderId="7" xfId="0" applyFill="1" applyBorder="1" applyAlignment="1">
      <alignment horizontal="left" vertical="center" wrapText="1"/>
    </xf>
    <xf numFmtId="0" fontId="0" fillId="0" borderId="15" xfId="0" applyFill="1" applyBorder="1" applyAlignment="1">
      <alignment horizontal="left" vertical="center" wrapText="1"/>
    </xf>
    <xf numFmtId="0" fontId="19" fillId="0" borderId="41" xfId="0" applyFont="1" applyBorder="1" applyAlignment="1">
      <alignment horizontal="center" wrapText="1"/>
    </xf>
    <xf numFmtId="0" fontId="19" fillId="0" borderId="41" xfId="0" applyFont="1" applyBorder="1" applyAlignment="1">
      <alignment wrapText="1"/>
    </xf>
    <xf numFmtId="0" fontId="19" fillId="0" borderId="42" xfId="0" applyFont="1" applyBorder="1"/>
    <xf numFmtId="0" fontId="0" fillId="0" borderId="30" xfId="0" applyBorder="1" applyAlignment="1">
      <alignment wrapText="1"/>
    </xf>
    <xf numFmtId="2" fontId="0" fillId="6" borderId="28" xfId="0" applyNumberFormat="1" applyFill="1" applyBorder="1" applyAlignment="1">
      <alignment horizontal="center"/>
    </xf>
    <xf numFmtId="0" fontId="0" fillId="6" borderId="29" xfId="0" applyFill="1" applyBorder="1"/>
    <xf numFmtId="2" fontId="0" fillId="6" borderId="31" xfId="0" applyNumberFormat="1" applyFill="1" applyBorder="1" applyAlignment="1">
      <alignment horizontal="center"/>
    </xf>
    <xf numFmtId="0" fontId="0" fillId="6" borderId="25" xfId="0" applyFill="1" applyBorder="1"/>
    <xf numFmtId="2" fontId="0" fillId="6" borderId="33" xfId="0" applyNumberFormat="1" applyFill="1" applyBorder="1" applyAlignment="1">
      <alignment horizontal="center"/>
    </xf>
    <xf numFmtId="0" fontId="0" fillId="6" borderId="26" xfId="0" applyFill="1" applyBorder="1"/>
    <xf numFmtId="2" fontId="0" fillId="6" borderId="35" xfId="0" applyNumberFormat="1" applyFill="1" applyBorder="1" applyAlignment="1">
      <alignment horizontal="center"/>
    </xf>
    <xf numFmtId="0" fontId="0" fillId="6" borderId="27" xfId="0" applyFill="1" applyBorder="1"/>
    <xf numFmtId="2" fontId="0" fillId="6" borderId="37" xfId="0" applyNumberFormat="1" applyFill="1" applyBorder="1" applyAlignment="1">
      <alignment horizontal="center"/>
    </xf>
    <xf numFmtId="174" fontId="0" fillId="6" borderId="38" xfId="0" applyNumberFormat="1" applyFill="1" applyBorder="1"/>
    <xf numFmtId="0" fontId="19" fillId="0" borderId="40" xfId="0" applyFont="1" applyBorder="1" applyAlignment="1">
      <alignment horizontal="left" vertical="center" wrapText="1"/>
    </xf>
    <xf numFmtId="0" fontId="19" fillId="0" borderId="0" xfId="0" applyFont="1" applyAlignment="1">
      <alignment horizontal="center"/>
    </xf>
    <xf numFmtId="0" fontId="19" fillId="0" borderId="1" xfId="0" applyFont="1" applyBorder="1" applyAlignment="1">
      <alignment horizontal="center"/>
    </xf>
    <xf numFmtId="3" fontId="0" fillId="0" borderId="0" xfId="0" applyNumberFormat="1" applyAlignment="1">
      <alignment horizontal="center"/>
    </xf>
    <xf numFmtId="174" fontId="0" fillId="0" borderId="24" xfId="0" applyNumberFormat="1" applyBorder="1" applyAlignment="1">
      <alignment horizontal="center"/>
    </xf>
    <xf numFmtId="3" fontId="0" fillId="0" borderId="24" xfId="0" applyNumberFormat="1" applyBorder="1" applyAlignment="1">
      <alignment horizontal="center"/>
    </xf>
    <xf numFmtId="2" fontId="0" fillId="0" borderId="0" xfId="1" applyNumberFormat="1" applyFont="1"/>
    <xf numFmtId="173" fontId="5" fillId="0" borderId="0" xfId="0" applyNumberFormat="1" applyFont="1" applyFill="1" applyBorder="1" applyProtection="1">
      <protection locked="0"/>
    </xf>
    <xf numFmtId="0" fontId="0" fillId="0" borderId="24" xfId="0" applyBorder="1"/>
    <xf numFmtId="0" fontId="0" fillId="0" borderId="0" xfId="0" applyFont="1"/>
    <xf numFmtId="0" fontId="0" fillId="0" borderId="0" xfId="0" applyAlignment="1">
      <alignment horizontal="right" vertical="center" wrapText="1"/>
    </xf>
    <xf numFmtId="0" fontId="0" fillId="0" borderId="0" xfId="0" applyAlignment="1">
      <alignment vertical="center"/>
    </xf>
    <xf numFmtId="0" fontId="23" fillId="0" borderId="0" xfId="0" applyFont="1"/>
    <xf numFmtId="0" fontId="19" fillId="0" borderId="0" xfId="0" applyFont="1" applyAlignment="1">
      <alignment wrapText="1"/>
    </xf>
    <xf numFmtId="0" fontId="19" fillId="0" borderId="0" xfId="0" applyFont="1" applyAlignment="1">
      <alignment horizontal="center" vertical="center" wrapText="1"/>
    </xf>
    <xf numFmtId="0" fontId="0" fillId="0" borderId="0" xfId="0" applyFont="1" applyAlignment="1">
      <alignment wrapText="1"/>
    </xf>
    <xf numFmtId="0" fontId="24" fillId="0" borderId="0" xfId="0" applyFont="1" applyAlignment="1">
      <alignment horizontal="left" vertical="center" wrapText="1"/>
    </xf>
    <xf numFmtId="0" fontId="24" fillId="0" borderId="0" xfId="0" applyFont="1" applyAlignment="1">
      <alignment wrapText="1"/>
    </xf>
    <xf numFmtId="2" fontId="0" fillId="0" borderId="0" xfId="0" applyNumberFormat="1" applyFont="1" applyAlignment="1">
      <alignment horizontal="center" vertical="center" wrapText="1"/>
    </xf>
    <xf numFmtId="0" fontId="24" fillId="0" borderId="24" xfId="0" applyFont="1" applyBorder="1" applyAlignment="1">
      <alignment wrapText="1"/>
    </xf>
    <xf numFmtId="2" fontId="19" fillId="0" borderId="0" xfId="0" applyNumberFormat="1" applyFont="1" applyAlignment="1">
      <alignment horizontal="center" vertical="center"/>
    </xf>
    <xf numFmtId="2" fontId="0" fillId="0" borderId="0" xfId="0" applyNumberFormat="1" applyAlignment="1">
      <alignment horizontal="center" vertical="center"/>
    </xf>
    <xf numFmtId="0" fontId="0" fillId="0" borderId="24" xfId="0" applyBorder="1" applyAlignment="1">
      <alignment wrapText="1"/>
    </xf>
    <xf numFmtId="0" fontId="0" fillId="8" borderId="0" xfId="0" applyFill="1"/>
    <xf numFmtId="0" fontId="0" fillId="8" borderId="0" xfId="0" applyFont="1" applyFill="1" applyAlignment="1">
      <alignment horizontal="center" wrapText="1"/>
    </xf>
    <xf numFmtId="0" fontId="0" fillId="8" borderId="0" xfId="0" applyFill="1" applyAlignment="1">
      <alignment horizontal="center"/>
    </xf>
    <xf numFmtId="0" fontId="0" fillId="8" borderId="0" xfId="0" applyFill="1" applyAlignment="1">
      <alignment horizontal="center" vertical="center"/>
    </xf>
    <xf numFmtId="0" fontId="0" fillId="8" borderId="24" xfId="0" applyFill="1" applyBorder="1" applyAlignment="1">
      <alignment horizontal="center" vertical="center"/>
    </xf>
    <xf numFmtId="2" fontId="0" fillId="0" borderId="24" xfId="0" applyNumberFormat="1" applyBorder="1" applyAlignment="1">
      <alignment horizontal="center" vertical="center"/>
    </xf>
    <xf numFmtId="0" fontId="0" fillId="0" borderId="0" xfId="0" applyAlignment="1">
      <alignment horizontal="left" vertical="center"/>
    </xf>
    <xf numFmtId="0" fontId="19" fillId="0" borderId="0" xfId="0" applyFont="1" applyAlignment="1">
      <alignment horizontal="center" vertical="center"/>
    </xf>
    <xf numFmtId="0" fontId="0" fillId="0" borderId="0" xfId="0" applyAlignment="1">
      <alignment horizontal="center"/>
    </xf>
    <xf numFmtId="0" fontId="0" fillId="8" borderId="24" xfId="0" applyFill="1" applyBorder="1"/>
    <xf numFmtId="0" fontId="0" fillId="0" borderId="25" xfId="0" applyBorder="1"/>
    <xf numFmtId="0" fontId="0" fillId="0" borderId="25" xfId="0" applyBorder="1" applyAlignment="1">
      <alignment horizontal="center"/>
    </xf>
    <xf numFmtId="0" fontId="0" fillId="6" borderId="0" xfId="0" applyFont="1" applyFill="1" applyAlignment="1">
      <alignment horizontal="center" vertical="center"/>
    </xf>
    <xf numFmtId="2" fontId="0" fillId="0" borderId="0" xfId="0" applyNumberFormat="1" applyFont="1" applyAlignment="1">
      <alignment horizontal="center" vertical="center"/>
    </xf>
    <xf numFmtId="3" fontId="0" fillId="0" borderId="0" xfId="0" applyNumberFormat="1" applyAlignment="1">
      <alignment horizontal="center" vertical="center"/>
    </xf>
    <xf numFmtId="0" fontId="0" fillId="7" borderId="0" xfId="0" applyFill="1" applyAlignment="1">
      <alignment horizontal="center" vertical="center"/>
    </xf>
    <xf numFmtId="2" fontId="0" fillId="7" borderId="0" xfId="0" applyNumberFormat="1" applyFill="1" applyAlignment="1">
      <alignment horizontal="center" vertical="center"/>
    </xf>
    <xf numFmtId="0" fontId="0" fillId="3" borderId="0" xfId="0" applyFill="1" applyAlignment="1">
      <alignment horizontal="center" vertical="center"/>
    </xf>
    <xf numFmtId="2" fontId="0" fillId="3" borderId="0" xfId="0" applyNumberFormat="1" applyFill="1" applyAlignment="1">
      <alignment horizontal="center" vertical="center"/>
    </xf>
    <xf numFmtId="0" fontId="0" fillId="3" borderId="24" xfId="0" applyFill="1" applyBorder="1" applyAlignment="1">
      <alignment horizontal="center" vertical="center"/>
    </xf>
    <xf numFmtId="2" fontId="0" fillId="3" borderId="24" xfId="0" applyNumberFormat="1" applyFill="1" applyBorder="1" applyAlignment="1">
      <alignment horizontal="center" vertical="center"/>
    </xf>
    <xf numFmtId="2" fontId="0" fillId="0" borderId="0" xfId="0" applyNumberFormat="1" applyFill="1" applyBorder="1" applyAlignment="1">
      <alignment horizontal="center" vertical="center"/>
    </xf>
    <xf numFmtId="0" fontId="22" fillId="0" borderId="0" xfId="0" applyFont="1" applyAlignment="1">
      <alignment horizontal="left" vertical="center"/>
    </xf>
    <xf numFmtId="0" fontId="0" fillId="0" borderId="0" xfId="0" applyFont="1" applyAlignment="1">
      <alignment horizontal="left" vertical="center"/>
    </xf>
    <xf numFmtId="0" fontId="0" fillId="9" borderId="0" xfId="0" applyFont="1" applyFill="1" applyAlignment="1">
      <alignment horizontal="left" vertical="center"/>
    </xf>
    <xf numFmtId="0" fontId="0" fillId="6" borderId="0" xfId="0" applyFill="1" applyAlignment="1">
      <alignment horizontal="center" vertical="center"/>
    </xf>
    <xf numFmtId="0" fontId="0" fillId="0" borderId="0" xfId="0" applyFill="1" applyAlignment="1">
      <alignment horizontal="center" vertical="center"/>
    </xf>
    <xf numFmtId="0" fontId="0" fillId="0" borderId="25" xfId="0" applyFill="1" applyBorder="1"/>
    <xf numFmtId="9" fontId="0" fillId="0" borderId="25" xfId="1" applyFont="1" applyBorder="1" applyAlignment="1">
      <alignment horizontal="center"/>
    </xf>
    <xf numFmtId="168" fontId="0" fillId="0" borderId="25" xfId="1" applyNumberFormat="1" applyFont="1" applyBorder="1" applyAlignment="1">
      <alignment horizontal="center"/>
    </xf>
    <xf numFmtId="168" fontId="0" fillId="8" borderId="0" xfId="1" applyNumberFormat="1" applyFont="1" applyFill="1" applyAlignment="1">
      <alignment wrapText="1"/>
    </xf>
    <xf numFmtId="168" fontId="0" fillId="8" borderId="24" xfId="1" applyNumberFormat="1" applyFont="1" applyFill="1" applyBorder="1" applyAlignment="1">
      <alignment wrapText="1"/>
    </xf>
    <xf numFmtId="0" fontId="0" fillId="0" borderId="25" xfId="0" applyFill="1" applyBorder="1" applyAlignment="1">
      <alignment horizontal="center"/>
    </xf>
    <xf numFmtId="168" fontId="0" fillId="0" borderId="25" xfId="0" applyNumberFormat="1" applyFill="1" applyBorder="1" applyAlignment="1">
      <alignment horizontal="center"/>
    </xf>
    <xf numFmtId="168" fontId="0" fillId="0" borderId="25" xfId="0" applyNumberFormat="1" applyBorder="1" applyAlignment="1">
      <alignment horizontal="center"/>
    </xf>
    <xf numFmtId="0" fontId="0" fillId="0" borderId="0" xfId="0" applyAlignment="1">
      <alignment horizontal="center" wrapText="1"/>
    </xf>
    <xf numFmtId="0" fontId="0" fillId="7" borderId="0" xfId="0" applyFill="1" applyAlignment="1">
      <alignment horizontal="center" wrapText="1"/>
    </xf>
    <xf numFmtId="0" fontId="0" fillId="7" borderId="0" xfId="0" applyFill="1" applyAlignment="1">
      <alignment wrapText="1"/>
    </xf>
    <xf numFmtId="174" fontId="0" fillId="7" borderId="0" xfId="0" applyNumberFormat="1" applyFill="1" applyAlignment="1">
      <alignment horizontal="center" wrapText="1"/>
    </xf>
    <xf numFmtId="0" fontId="0" fillId="7" borderId="0" xfId="0" applyFill="1"/>
    <xf numFmtId="0" fontId="0" fillId="0" borderId="24" xfId="0" applyBorder="1" applyAlignment="1">
      <alignment horizontal="center" wrapText="1"/>
    </xf>
    <xf numFmtId="0" fontId="0" fillId="7" borderId="24" xfId="0" applyFill="1" applyBorder="1" applyAlignment="1">
      <alignment horizontal="center" wrapText="1"/>
    </xf>
    <xf numFmtId="0" fontId="0" fillId="0" borderId="0" xfId="0" applyFill="1" applyBorder="1"/>
    <xf numFmtId="2" fontId="0" fillId="7" borderId="0" xfId="0" applyNumberFormat="1" applyFill="1" applyAlignment="1">
      <alignment wrapText="1"/>
    </xf>
    <xf numFmtId="2" fontId="0" fillId="7" borderId="0" xfId="0" applyNumberFormat="1" applyFill="1"/>
    <xf numFmtId="2" fontId="0" fillId="7" borderId="24" xfId="0" applyNumberFormat="1" applyFill="1" applyBorder="1" applyAlignment="1">
      <alignment wrapText="1"/>
    </xf>
    <xf numFmtId="2" fontId="0" fillId="7" borderId="24" xfId="0" applyNumberFormat="1" applyFill="1" applyBorder="1"/>
    <xf numFmtId="0" fontId="0" fillId="0" borderId="0" xfId="0" applyFill="1" applyAlignment="1">
      <alignment horizontal="center" wrapText="1"/>
    </xf>
    <xf numFmtId="174" fontId="0" fillId="0" borderId="0" xfId="0" applyNumberFormat="1" applyFill="1" applyAlignment="1">
      <alignment horizontal="center" wrapText="1"/>
    </xf>
    <xf numFmtId="0" fontId="0" fillId="0" borderId="24" xfId="0" applyFill="1" applyBorder="1" applyAlignment="1">
      <alignment horizontal="center" wrapText="1"/>
    </xf>
    <xf numFmtId="9" fontId="0" fillId="0" borderId="0" xfId="1" applyFont="1" applyAlignment="1">
      <alignment horizontal="center" wrapText="1"/>
    </xf>
    <xf numFmtId="174" fontId="0" fillId="10" borderId="0" xfId="0" applyNumberFormat="1" applyFill="1" applyAlignment="1">
      <alignment horizontal="center" wrapText="1"/>
    </xf>
    <xf numFmtId="2" fontId="0" fillId="10" borderId="0" xfId="0" applyNumberFormat="1" applyFill="1" applyAlignment="1">
      <alignment horizontal="center" wrapText="1"/>
    </xf>
    <xf numFmtId="168" fontId="0" fillId="10" borderId="25" xfId="1" applyNumberFormat="1" applyFont="1" applyFill="1" applyBorder="1" applyAlignment="1">
      <alignment horizontal="center"/>
    </xf>
    <xf numFmtId="2" fontId="0" fillId="10" borderId="25" xfId="0" applyNumberFormat="1" applyFill="1" applyBorder="1" applyAlignment="1">
      <alignment horizontal="center"/>
    </xf>
    <xf numFmtId="2" fontId="0" fillId="0" borderId="25" xfId="0" applyNumberFormat="1" applyBorder="1" applyAlignment="1">
      <alignment horizontal="center"/>
    </xf>
    <xf numFmtId="0" fontId="25" fillId="0" borderId="0" xfId="0" applyFont="1" applyBorder="1" applyProtection="1">
      <protection locked="0"/>
    </xf>
    <xf numFmtId="0" fontId="0" fillId="0" borderId="0" xfId="0" applyAlignment="1">
      <alignment horizontal="center"/>
    </xf>
    <xf numFmtId="0" fontId="28" fillId="0" borderId="0" xfId="0" applyFont="1"/>
    <xf numFmtId="0" fontId="29" fillId="0" borderId="0" xfId="0" applyFont="1"/>
    <xf numFmtId="0" fontId="0" fillId="0" borderId="10" xfId="0" applyBorder="1"/>
    <xf numFmtId="0" fontId="30" fillId="0" borderId="0" xfId="0" applyFont="1" applyBorder="1"/>
    <xf numFmtId="0" fontId="30" fillId="0" borderId="0" xfId="0" applyFont="1" applyFill="1" applyBorder="1"/>
    <xf numFmtId="0" fontId="31" fillId="0" borderId="0" xfId="0" applyFont="1" applyFill="1" applyBorder="1"/>
    <xf numFmtId="174" fontId="30" fillId="0" borderId="0" xfId="0" applyNumberFormat="1" applyFont="1" applyFill="1" applyBorder="1"/>
    <xf numFmtId="1" fontId="0" fillId="0" borderId="0" xfId="0" applyNumberFormat="1" applyFill="1"/>
    <xf numFmtId="0" fontId="30" fillId="0" borderId="1" xfId="0" applyFont="1" applyBorder="1"/>
    <xf numFmtId="0" fontId="30" fillId="0" borderId="1" xfId="0" applyFont="1" applyFill="1" applyBorder="1"/>
    <xf numFmtId="0" fontId="30" fillId="0" borderId="1" xfId="0" applyFont="1" applyFill="1" applyBorder="1" applyAlignment="1">
      <alignment horizontal="right" vertical="center"/>
    </xf>
    <xf numFmtId="0" fontId="0" fillId="0" borderId="0" xfId="0" applyBorder="1"/>
    <xf numFmtId="174" fontId="30" fillId="0" borderId="0" xfId="0" applyNumberFormat="1" applyFont="1" applyFill="1" applyBorder="1" applyAlignment="1"/>
    <xf numFmtId="0" fontId="30" fillId="0" borderId="0" xfId="0" applyFont="1" applyFill="1" applyBorder="1" applyAlignment="1">
      <alignment horizontal="left"/>
    </xf>
    <xf numFmtId="1" fontId="0" fillId="0" borderId="0" xfId="0" applyNumberFormat="1"/>
    <xf numFmtId="1" fontId="30" fillId="0" borderId="0" xfId="0" applyNumberFormat="1" applyFont="1" applyBorder="1"/>
    <xf numFmtId="1" fontId="30" fillId="0" borderId="0" xfId="0" applyNumberFormat="1" applyFont="1" applyFill="1" applyBorder="1"/>
    <xf numFmtId="49" fontId="0" fillId="0" borderId="0" xfId="0" applyNumberFormat="1" applyAlignment="1">
      <alignment horizontal="right"/>
    </xf>
    <xf numFmtId="174" fontId="31" fillId="0" borderId="0" xfId="0" applyNumberFormat="1" applyFont="1" applyBorder="1"/>
    <xf numFmtId="0" fontId="0" fillId="0" borderId="0" xfId="0" applyFill="1"/>
    <xf numFmtId="174" fontId="0" fillId="0" borderId="0" xfId="0" applyNumberFormat="1" applyFill="1"/>
    <xf numFmtId="1" fontId="30" fillId="0" borderId="0" xfId="0" applyNumberFormat="1" applyFont="1" applyBorder="1" applyAlignment="1"/>
    <xf numFmtId="1" fontId="30" fillId="0" borderId="0" xfId="0" applyNumberFormat="1" applyFont="1" applyFill="1" applyBorder="1" applyAlignment="1"/>
    <xf numFmtId="0" fontId="30" fillId="0" borderId="0" xfId="0" applyFont="1"/>
    <xf numFmtId="1" fontId="30" fillId="0" borderId="0" xfId="0" applyNumberFormat="1" applyFont="1" applyAlignment="1">
      <alignment horizontal="right"/>
    </xf>
    <xf numFmtId="1" fontId="30" fillId="0" borderId="0" xfId="0" applyNumberFormat="1" applyFont="1" applyFill="1" applyAlignment="1">
      <alignment horizontal="right"/>
    </xf>
    <xf numFmtId="1" fontId="0" fillId="0" borderId="0" xfId="0" applyNumberFormat="1" applyFont="1"/>
    <xf numFmtId="174" fontId="30" fillId="0" borderId="0" xfId="0" applyNumberFormat="1" applyFont="1" applyFill="1"/>
    <xf numFmtId="1" fontId="0" fillId="0" borderId="0" xfId="0" applyNumberFormat="1" applyFont="1" applyFill="1"/>
    <xf numFmtId="0" fontId="30" fillId="0" borderId="0" xfId="0" applyFont="1" applyAlignment="1">
      <alignment wrapText="1"/>
    </xf>
    <xf numFmtId="1" fontId="30" fillId="0" borderId="0" xfId="0" applyNumberFormat="1" applyFont="1"/>
    <xf numFmtId="1" fontId="32" fillId="0" borderId="0" xfId="0" applyNumberFormat="1" applyFont="1" applyFill="1"/>
    <xf numFmtId="1" fontId="32" fillId="0" borderId="0" xfId="0" applyNumberFormat="1" applyFont="1" applyFill="1" applyAlignment="1">
      <alignment horizontal="right"/>
    </xf>
    <xf numFmtId="0" fontId="30" fillId="0" borderId="0" xfId="0" applyFont="1" applyAlignment="1"/>
    <xf numFmtId="167" fontId="30" fillId="0" borderId="0" xfId="0" applyNumberFormat="1" applyFont="1" applyFill="1" applyAlignment="1"/>
    <xf numFmtId="1" fontId="30" fillId="0" borderId="0" xfId="0" applyNumberFormat="1" applyFont="1" applyFill="1" applyAlignment="1"/>
    <xf numFmtId="0" fontId="30" fillId="0" borderId="0" xfId="0" applyFont="1" applyFill="1" applyAlignment="1"/>
    <xf numFmtId="1" fontId="30" fillId="0" borderId="0" xfId="0" applyNumberFormat="1" applyFont="1" applyFill="1"/>
    <xf numFmtId="1" fontId="30" fillId="2" borderId="0" xfId="0" applyNumberFormat="1" applyFont="1" applyFill="1" applyAlignment="1">
      <alignment horizontal="right"/>
    </xf>
    <xf numFmtId="1" fontId="0" fillId="0" borderId="0" xfId="0" applyNumberFormat="1" applyFill="1" applyBorder="1"/>
    <xf numFmtId="0" fontId="33" fillId="0" borderId="0" xfId="0" applyFont="1"/>
    <xf numFmtId="174" fontId="30" fillId="0" borderId="0" xfId="0" applyNumberFormat="1" applyFont="1" applyBorder="1"/>
    <xf numFmtId="0" fontId="30" fillId="0" borderId="0" xfId="0" applyFont="1" applyBorder="1" applyAlignment="1">
      <alignment horizontal="left" wrapText="1"/>
    </xf>
    <xf numFmtId="3" fontId="0" fillId="0" borderId="0" xfId="0" applyNumberFormat="1" applyBorder="1" applyAlignment="1">
      <alignment vertical="top" wrapText="1"/>
    </xf>
    <xf numFmtId="0" fontId="30" fillId="2" borderId="0" xfId="0" applyFont="1" applyFill="1" applyBorder="1" applyAlignment="1">
      <alignment horizontal="left" vertical="top" wrapText="1"/>
    </xf>
    <xf numFmtId="0" fontId="30" fillId="0" borderId="0" xfId="0" applyFont="1" applyBorder="1" applyAlignment="1">
      <alignment horizontal="left" vertical="top" wrapText="1"/>
    </xf>
    <xf numFmtId="49" fontId="30" fillId="0" borderId="0" xfId="0" applyNumberFormat="1" applyFont="1"/>
    <xf numFmtId="49" fontId="30" fillId="0" borderId="0" xfId="0" applyNumberFormat="1" applyFont="1" applyFill="1" applyBorder="1" applyAlignment="1"/>
    <xf numFmtId="49" fontId="0" fillId="0" borderId="0" xfId="0" applyNumberFormat="1" applyFill="1"/>
    <xf numFmtId="0" fontId="30" fillId="0" borderId="10" xfId="0" applyFont="1" applyBorder="1" applyAlignment="1">
      <alignment horizontal="left" vertical="top" wrapText="1"/>
    </xf>
    <xf numFmtId="3" fontId="0" fillId="0" borderId="0" xfId="0" applyNumberFormat="1" applyBorder="1" applyAlignment="1"/>
    <xf numFmtId="1" fontId="0" fillId="0" borderId="0" xfId="0" applyNumberFormat="1" applyAlignment="1">
      <alignment horizontal="center"/>
    </xf>
    <xf numFmtId="1" fontId="30" fillId="0" borderId="0" xfId="0" applyNumberFormat="1" applyFont="1" applyBorder="1" applyAlignment="1">
      <alignment horizontal="center"/>
    </xf>
    <xf numFmtId="0" fontId="30" fillId="0" borderId="0" xfId="0" applyFont="1" applyAlignment="1">
      <alignment horizontal="right"/>
    </xf>
    <xf numFmtId="0" fontId="34" fillId="0" borderId="0" xfId="0" applyFont="1" applyAlignment="1">
      <alignment vertical="center" wrapText="1"/>
    </xf>
    <xf numFmtId="0" fontId="35" fillId="0" borderId="0" xfId="0" applyFont="1" applyAlignment="1">
      <alignment vertical="center" wrapText="1"/>
    </xf>
    <xf numFmtId="1" fontId="0" fillId="0" borderId="0" xfId="0" applyNumberFormat="1" applyBorder="1"/>
    <xf numFmtId="49" fontId="0" fillId="0" borderId="0" xfId="0" applyNumberFormat="1" applyBorder="1"/>
    <xf numFmtId="174" fontId="0" fillId="2" borderId="0" xfId="0" applyNumberFormat="1" applyFill="1"/>
    <xf numFmtId="0" fontId="0" fillId="0" borderId="0" xfId="0" applyFont="1" applyAlignment="1">
      <alignment horizontal="left"/>
    </xf>
    <xf numFmtId="0" fontId="36" fillId="0" borderId="0" xfId="0" applyFont="1" applyFill="1" applyBorder="1" applyAlignment="1">
      <alignment horizontal="left" vertical="center"/>
    </xf>
    <xf numFmtId="0" fontId="36" fillId="0" borderId="0" xfId="0" applyFont="1" applyAlignment="1">
      <alignment horizontal="left"/>
    </xf>
    <xf numFmtId="0" fontId="36" fillId="0" borderId="0" xfId="0" applyFont="1" applyBorder="1" applyAlignment="1">
      <alignment horizontal="left"/>
    </xf>
    <xf numFmtId="174" fontId="36" fillId="0" borderId="0" xfId="0" applyNumberFormat="1" applyFont="1" applyBorder="1" applyAlignment="1">
      <alignment horizontal="left"/>
    </xf>
    <xf numFmtId="0" fontId="0" fillId="0" borderId="0" xfId="0" applyFont="1" applyBorder="1" applyAlignment="1">
      <alignment horizontal="left"/>
    </xf>
    <xf numFmtId="1" fontId="0" fillId="0" borderId="0" xfId="0" applyNumberFormat="1" applyFont="1" applyAlignment="1">
      <alignment horizontal="left"/>
    </xf>
    <xf numFmtId="1" fontId="36" fillId="0" borderId="0" xfId="0" applyNumberFormat="1" applyFont="1" applyBorder="1" applyAlignment="1">
      <alignment horizontal="left"/>
    </xf>
    <xf numFmtId="0" fontId="30" fillId="0" borderId="0" xfId="0" applyFont="1" applyAlignment="1">
      <alignment horizontal="center"/>
    </xf>
    <xf numFmtId="0" fontId="30" fillId="0" borderId="0" xfId="0" applyFont="1" applyBorder="1" applyAlignment="1">
      <alignment horizontal="center"/>
    </xf>
    <xf numFmtId="167" fontId="30" fillId="0" borderId="0" xfId="0" applyNumberFormat="1" applyFont="1" applyFill="1" applyAlignment="1">
      <alignment horizontal="center"/>
    </xf>
    <xf numFmtId="0" fontId="36" fillId="0" borderId="24" xfId="0" applyFont="1" applyBorder="1" applyAlignment="1">
      <alignment horizontal="left"/>
    </xf>
    <xf numFmtId="0" fontId="30" fillId="0" borderId="24" xfId="0" applyFont="1" applyBorder="1" applyAlignment="1">
      <alignment horizontal="center"/>
    </xf>
    <xf numFmtId="0" fontId="37" fillId="0" borderId="0" xfId="0" applyFont="1" applyAlignment="1">
      <alignment horizontal="left"/>
    </xf>
    <xf numFmtId="0" fontId="33" fillId="0" borderId="0" xfId="0" applyFont="1" applyAlignment="1">
      <alignment horizontal="center"/>
    </xf>
    <xf numFmtId="0" fontId="0" fillId="0" borderId="1" xfId="0" applyFont="1" applyBorder="1" applyAlignment="1">
      <alignment horizontal="left"/>
    </xf>
    <xf numFmtId="0" fontId="22"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9" fontId="0" fillId="0" borderId="0" xfId="0" applyNumberFormat="1" applyAlignment="1">
      <alignment vertical="center" wrapText="1"/>
    </xf>
    <xf numFmtId="0" fontId="19" fillId="2" borderId="0" xfId="0" applyFont="1" applyFill="1" applyAlignment="1">
      <alignment vertical="center" wrapText="1"/>
    </xf>
    <xf numFmtId="0" fontId="19" fillId="2" borderId="0" xfId="0" applyFont="1" applyFill="1"/>
    <xf numFmtId="0" fontId="0" fillId="0" borderId="0" xfId="0" applyAlignment="1">
      <alignment horizontal="center" wrapText="1"/>
    </xf>
    <xf numFmtId="0" fontId="0" fillId="0" borderId="0" xfId="0" applyAlignment="1">
      <alignment wrapText="1"/>
    </xf>
    <xf numFmtId="168" fontId="0" fillId="0" borderId="0" xfId="1" applyNumberFormat="1" applyFont="1" applyAlignment="1">
      <alignment horizontal="center" wrapText="1"/>
    </xf>
    <xf numFmtId="168" fontId="0" fillId="0" borderId="0" xfId="0" applyNumberFormat="1" applyAlignment="1">
      <alignment horizontal="center" wrapText="1"/>
    </xf>
    <xf numFmtId="2" fontId="0" fillId="8" borderId="0" xfId="0" applyNumberFormat="1" applyFill="1"/>
    <xf numFmtId="2" fontId="0" fillId="8" borderId="24" xfId="0" applyNumberFormat="1" applyFill="1" applyBorder="1"/>
    <xf numFmtId="0" fontId="24" fillId="0" borderId="0" xfId="0" applyFont="1" applyAlignment="1">
      <alignment horizontal="center" wrapText="1"/>
    </xf>
    <xf numFmtId="166" fontId="5" fillId="0" borderId="0" xfId="0" quotePrefix="1" applyNumberFormat="1" applyFont="1" applyFill="1" applyBorder="1" applyProtection="1">
      <protection locked="0"/>
    </xf>
    <xf numFmtId="3" fontId="0" fillId="0" borderId="0" xfId="0" applyNumberFormat="1" applyAlignment="1">
      <alignment vertical="center"/>
    </xf>
    <xf numFmtId="3" fontId="40" fillId="0" borderId="0" xfId="0" applyNumberFormat="1" applyFont="1" applyAlignment="1">
      <alignment vertical="center"/>
    </xf>
    <xf numFmtId="164" fontId="4" fillId="0" borderId="0" xfId="0" applyNumberFormat="1" applyFont="1"/>
    <xf numFmtId="0" fontId="5" fillId="0" borderId="0" xfId="0" applyFont="1" applyFill="1" applyProtection="1"/>
    <xf numFmtId="0" fontId="0" fillId="0" borderId="0" xfId="0" applyAlignment="1">
      <alignment horizontal="center"/>
    </xf>
    <xf numFmtId="0" fontId="0" fillId="0" borderId="0" xfId="0" applyAlignment="1">
      <alignment horizontal="center"/>
    </xf>
    <xf numFmtId="164" fontId="4" fillId="0" borderId="0" xfId="0" applyNumberFormat="1" applyFont="1" applyFill="1" applyBorder="1" applyProtection="1">
      <protection locked="0"/>
    </xf>
    <xf numFmtId="0" fontId="0" fillId="0" borderId="0" xfId="0" quotePrefix="1"/>
    <xf numFmtId="0" fontId="19" fillId="0" borderId="25" xfId="0" applyFont="1" applyBorder="1"/>
    <xf numFmtId="0" fontId="19" fillId="0" borderId="25" xfId="0" applyFont="1" applyBorder="1" applyAlignment="1">
      <alignment horizontal="left" vertical="center" wrapText="1"/>
    </xf>
    <xf numFmtId="0" fontId="19" fillId="0" borderId="25" xfId="0" applyFont="1" applyBorder="1" applyAlignment="1">
      <alignment wrapText="1"/>
    </xf>
    <xf numFmtId="0" fontId="0" fillId="0" borderId="25" xfId="0" applyBorder="1" applyAlignment="1">
      <alignment horizontal="left" vertical="center" wrapText="1"/>
    </xf>
    <xf numFmtId="0" fontId="0" fillId="0" borderId="25" xfId="0" applyBorder="1" applyAlignment="1">
      <alignment wrapText="1"/>
    </xf>
    <xf numFmtId="0" fontId="0" fillId="0" borderId="24" xfId="0" applyBorder="1" applyAlignment="1">
      <alignment horizontal="center"/>
    </xf>
    <xf numFmtId="3" fontId="19" fillId="0" borderId="0" xfId="0" applyNumberFormat="1" applyFont="1" applyAlignment="1">
      <alignment vertical="center"/>
    </xf>
    <xf numFmtId="3" fontId="0" fillId="0" borderId="24" xfId="0" applyNumberFormat="1" applyBorder="1" applyAlignment="1">
      <alignment vertical="center"/>
    </xf>
    <xf numFmtId="0" fontId="0" fillId="4" borderId="0" xfId="0" applyFill="1" applyAlignment="1">
      <alignment horizontal="center" vertical="center"/>
    </xf>
    <xf numFmtId="3" fontId="36" fillId="0" borderId="0" xfId="0" applyNumberFormat="1" applyFont="1" applyAlignment="1">
      <alignment vertical="center"/>
    </xf>
    <xf numFmtId="3" fontId="36" fillId="0" borderId="0" xfId="0" applyNumberFormat="1" applyFont="1" applyAlignment="1">
      <alignment horizontal="center" vertical="center"/>
    </xf>
    <xf numFmtId="3" fontId="41" fillId="0" borderId="0" xfId="0" applyNumberFormat="1" applyFont="1" applyAlignment="1">
      <alignment vertical="center"/>
    </xf>
    <xf numFmtId="3" fontId="41" fillId="0" borderId="0" xfId="0" applyNumberFormat="1" applyFont="1" applyAlignment="1">
      <alignment horizontal="center" vertical="center"/>
    </xf>
    <xf numFmtId="2" fontId="4" fillId="0" borderId="0" xfId="1" applyNumberFormat="1" applyFont="1" applyBorder="1" applyProtection="1">
      <protection locked="0"/>
    </xf>
    <xf numFmtId="9" fontId="5" fillId="0" borderId="0" xfId="1" applyFont="1" applyBorder="1" applyAlignment="1" applyProtection="1">
      <alignment horizontal="right"/>
      <protection locked="0"/>
    </xf>
    <xf numFmtId="0" fontId="41" fillId="0" borderId="25" xfId="0" applyFont="1" applyBorder="1"/>
    <xf numFmtId="0" fontId="27" fillId="0" borderId="25" xfId="0" applyFont="1" applyBorder="1"/>
    <xf numFmtId="0" fontId="19" fillId="0" borderId="27" xfId="0" applyFont="1" applyBorder="1" applyAlignment="1">
      <alignment horizontal="center" wrapText="1"/>
    </xf>
    <xf numFmtId="0" fontId="0" fillId="0" borderId="43" xfId="0" applyBorder="1"/>
    <xf numFmtId="0" fontId="0" fillId="0" borderId="27" xfId="0" applyBorder="1"/>
    <xf numFmtId="1" fontId="5" fillId="0" borderId="0" xfId="1" applyNumberFormat="1" applyFont="1" applyFill="1" applyBorder="1" applyProtection="1">
      <protection locked="0"/>
    </xf>
    <xf numFmtId="168" fontId="0" fillId="0" borderId="0" xfId="1" applyNumberFormat="1" applyFont="1" applyAlignment="1">
      <alignment vertical="center"/>
    </xf>
    <xf numFmtId="164" fontId="4" fillId="0" borderId="0" xfId="0" applyNumberFormat="1" applyFont="1" applyFill="1" applyBorder="1" applyAlignment="1" applyProtection="1">
      <alignment vertical="center"/>
      <protection locked="0"/>
    </xf>
    <xf numFmtId="164" fontId="4" fillId="3" borderId="6" xfId="0" applyNumberFormat="1" applyFont="1" applyFill="1" applyBorder="1" applyAlignment="1" applyProtection="1">
      <alignment vertical="center"/>
    </xf>
    <xf numFmtId="0" fontId="4" fillId="0" borderId="5" xfId="0" applyFont="1" applyBorder="1" applyAlignment="1">
      <alignment vertical="center" wrapText="1"/>
    </xf>
    <xf numFmtId="0" fontId="8"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164" fontId="4" fillId="0" borderId="0" xfId="0" applyNumberFormat="1" applyFont="1" applyBorder="1" applyAlignment="1" applyProtection="1">
      <alignment vertical="center"/>
      <protection locked="0"/>
    </xf>
    <xf numFmtId="164" fontId="42" fillId="0" borderId="0" xfId="0" applyNumberFormat="1" applyFont="1" applyBorder="1" applyProtection="1">
      <protection locked="0"/>
    </xf>
    <xf numFmtId="0" fontId="5" fillId="0" borderId="0" xfId="1" applyNumberFormat="1" applyFont="1" applyFill="1" applyBorder="1" applyProtection="1">
      <protection locked="0"/>
    </xf>
    <xf numFmtId="0" fontId="5" fillId="0" borderId="0" xfId="0" applyNumberFormat="1" applyFont="1" applyBorder="1" applyAlignment="1" applyProtection="1">
      <alignment horizontal="right"/>
    </xf>
    <xf numFmtId="170" fontId="5" fillId="0" borderId="0" xfId="0" applyNumberFormat="1" applyFont="1" applyFill="1" applyBorder="1" applyProtection="1"/>
    <xf numFmtId="0" fontId="4" fillId="0" borderId="5" xfId="0" applyFont="1" applyFill="1" applyBorder="1" applyAlignment="1">
      <alignment horizontal="left" wrapText="1"/>
    </xf>
    <xf numFmtId="0" fontId="14" fillId="0" borderId="0" xfId="0" applyFont="1" applyBorder="1" applyAlignment="1" applyProtection="1">
      <alignment horizontal="center" vertical="center"/>
      <protection locked="0"/>
    </xf>
    <xf numFmtId="0" fontId="0" fillId="0" borderId="25" xfId="0" applyBorder="1" applyAlignment="1">
      <alignment horizontal="left" vertical="center" wrapText="1"/>
    </xf>
    <xf numFmtId="0" fontId="0" fillId="0" borderId="0" xfId="0" applyAlignment="1">
      <alignment horizontal="center" vertical="center"/>
    </xf>
    <xf numFmtId="3" fontId="36" fillId="0" borderId="0" xfId="0" applyNumberFormat="1" applyFont="1" applyAlignment="1">
      <alignment horizontal="center" vertical="center"/>
    </xf>
    <xf numFmtId="3" fontId="41" fillId="0" borderId="0" xfId="0" applyNumberFormat="1" applyFont="1" applyAlignment="1">
      <alignment horizontal="center" vertical="center"/>
    </xf>
    <xf numFmtId="0" fontId="35" fillId="0" borderId="0" xfId="0" applyFont="1" applyAlignment="1">
      <alignment vertical="center" wrapText="1"/>
    </xf>
    <xf numFmtId="0" fontId="0" fillId="0" borderId="0" xfId="0" applyAlignment="1">
      <alignment wrapText="1"/>
    </xf>
    <xf numFmtId="0" fontId="30" fillId="0" borderId="0" xfId="0" applyFont="1" applyBorder="1" applyAlignment="1">
      <alignment horizontal="center" vertical="center" wrapText="1"/>
    </xf>
    <xf numFmtId="0" fontId="30" fillId="0" borderId="1" xfId="0" applyFont="1" applyBorder="1" applyAlignment="1">
      <alignment horizontal="center" vertical="center" wrapText="1"/>
    </xf>
    <xf numFmtId="3" fontId="0" fillId="0" borderId="13" xfId="0" applyNumberFormat="1" applyBorder="1" applyAlignment="1">
      <alignment horizontal="center" wrapText="1"/>
    </xf>
    <xf numFmtId="3" fontId="0" fillId="2" borderId="0" xfId="0" applyNumberFormat="1" applyFill="1" applyBorder="1" applyAlignment="1">
      <alignment horizontal="center" vertical="top" wrapText="1"/>
    </xf>
    <xf numFmtId="3" fontId="0" fillId="0" borderId="0" xfId="0" applyNumberFormat="1" applyBorder="1" applyAlignment="1">
      <alignment horizontal="center" vertical="top" wrapText="1"/>
    </xf>
    <xf numFmtId="3" fontId="0" fillId="0" borderId="10" xfId="0" applyNumberFormat="1" applyBorder="1" applyAlignment="1">
      <alignment horizontal="center" vertical="top" wrapText="1"/>
    </xf>
    <xf numFmtId="3" fontId="0" fillId="0" borderId="10" xfId="0" applyNumberFormat="1" applyBorder="1" applyAlignment="1">
      <alignment horizontal="center"/>
    </xf>
    <xf numFmtId="0" fontId="30" fillId="0" borderId="0" xfId="0" applyFont="1" applyFill="1" applyBorder="1" applyAlignment="1">
      <alignment horizontal="left"/>
    </xf>
    <xf numFmtId="0" fontId="30" fillId="0" borderId="0" xfId="0" applyFont="1" applyFill="1" applyBorder="1"/>
    <xf numFmtId="1" fontId="0" fillId="0" borderId="0" xfId="0" applyNumberFormat="1" applyAlignment="1">
      <alignment horizontal="right"/>
    </xf>
    <xf numFmtId="0" fontId="0" fillId="0" borderId="0"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4" fillId="0" borderId="0" xfId="0" applyFont="1" applyAlignment="1">
      <alignment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xf numFmtId="0" fontId="30" fillId="0" borderId="21" xfId="0" applyFont="1" applyBorder="1" applyAlignment="1">
      <alignment vertical="center"/>
    </xf>
    <xf numFmtId="0" fontId="0" fillId="0" borderId="21" xfId="0" applyBorder="1" applyAlignment="1">
      <alignment vertical="center"/>
    </xf>
    <xf numFmtId="0" fontId="30" fillId="0" borderId="13" xfId="0" applyFont="1" applyFill="1" applyBorder="1" applyAlignment="1">
      <alignment horizontal="left"/>
    </xf>
    <xf numFmtId="2" fontId="0" fillId="0" borderId="0" xfId="0" applyNumberFormat="1" applyFont="1" applyAlignment="1">
      <alignment horizontal="center" vertical="center" wrapText="1"/>
    </xf>
    <xf numFmtId="0" fontId="0" fillId="0" borderId="0" xfId="0" applyAlignment="1">
      <alignment horizontal="left" vertical="center"/>
    </xf>
    <xf numFmtId="0" fontId="24" fillId="0" borderId="0" xfId="0" applyFont="1" applyAlignment="1">
      <alignment horizontal="left" vertical="center" wrapText="1"/>
    </xf>
    <xf numFmtId="0" fontId="0" fillId="8" borderId="0" xfId="0" applyFill="1" applyAlignment="1">
      <alignment horizontal="center" vertical="center"/>
    </xf>
    <xf numFmtId="0" fontId="0" fillId="0" borderId="0" xfId="0" applyAlignment="1">
      <alignment horizontal="right"/>
    </xf>
    <xf numFmtId="2" fontId="0" fillId="7" borderId="0" xfId="0" applyNumberFormat="1" applyFill="1" applyAlignment="1">
      <alignment horizontal="center" vertical="center" wrapText="1"/>
    </xf>
    <xf numFmtId="0" fontId="24" fillId="0" borderId="0" xfId="0" applyFont="1" applyAlignment="1">
      <alignment horizontal="left" wrapText="1"/>
    </xf>
    <xf numFmtId="0" fontId="0" fillId="7" borderId="0" xfId="0" applyFont="1" applyFill="1" applyAlignment="1">
      <alignment horizontal="left" vertical="center"/>
    </xf>
    <xf numFmtId="0" fontId="0" fillId="3" borderId="0" xfId="0" applyFont="1" applyFill="1" applyAlignment="1">
      <alignment horizontal="left" vertical="center"/>
    </xf>
    <xf numFmtId="0" fontId="19" fillId="0" borderId="43" xfId="0" applyFont="1" applyBorder="1" applyAlignment="1">
      <alignment horizontal="center"/>
    </xf>
    <xf numFmtId="0" fontId="19" fillId="0" borderId="43" xfId="0" applyFont="1" applyBorder="1" applyAlignment="1">
      <alignment horizontal="center" wrapText="1"/>
    </xf>
    <xf numFmtId="0" fontId="19" fillId="0" borderId="27" xfId="0" applyFont="1" applyBorder="1" applyAlignment="1">
      <alignment horizontal="center" wrapText="1"/>
    </xf>
    <xf numFmtId="0" fontId="19" fillId="0" borderId="0" xfId="0" applyFont="1" applyAlignment="1">
      <alignment horizontal="center" vertical="center"/>
    </xf>
    <xf numFmtId="0" fontId="0" fillId="0" borderId="0" xfId="0" applyAlignment="1">
      <alignment horizontal="center"/>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533400</xdr:colOff>
      <xdr:row>0</xdr:row>
      <xdr:rowOff>276224</xdr:rowOff>
    </xdr:from>
    <xdr:ext cx="7267575" cy="20678776"/>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762875" y="276224"/>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5364480" y="5715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0</xdr:colOff>
      <xdr:row>1</xdr:row>
      <xdr:rowOff>0</xdr:rowOff>
    </xdr:from>
    <xdr:ext cx="7267575" cy="17783175"/>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9020175" y="342900"/>
          <a:ext cx="7267575" cy="177831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smågrisar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 sz="1100">
            <a:solidFill>
              <a:schemeClr val="tx1"/>
            </a:solidFill>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a:t>
          </a:r>
          <a:endParaRPr lang="sv-SE" i="1">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a:t>
          </a:r>
          <a:r>
            <a:rPr lang="sv-SE" sz="1100" b="0" u="sng" baseline="0">
              <a:solidFill>
                <a:schemeClr val="tx1"/>
              </a:solidFill>
              <a:effectLst/>
              <a:latin typeface="Cambria" panose="02040503050406030204" pitchFamily="18" charset="0"/>
              <a:ea typeface="+mn-ea"/>
              <a:cs typeface="+mn-cs"/>
            </a:rPr>
            <a:t>utom</a:t>
          </a:r>
          <a:r>
            <a:rPr lang="sv-SE" sz="1100" b="0" baseline="0">
              <a:solidFill>
                <a:schemeClr val="tx1"/>
              </a:solidFill>
              <a:effectLst/>
              <a:latin typeface="Cambria" panose="02040503050406030204" pitchFamily="18" charset="0"/>
              <a:ea typeface="+mn-ea"/>
              <a:cs typeface="+mn-cs"/>
            </a:rPr>
            <a:t>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Försök att använda befintliga rubriker. Om någon kalkylpost saknas går det bra att lägga till rader.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separat not. Noterna numreras löpande. Om du lägger till rader får du ändra numreringen på de rader som kommer efter. I noten förklarar du hur du har räknat fram beloppet och volymen. Noterna skriver du i en särskild bilaga som ska lämnas i rapporten.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Antal</a:t>
          </a:r>
          <a:r>
            <a:rPr lang="sv-SE" sz="1100" b="0" baseline="0">
              <a:solidFill>
                <a:schemeClr val="tx1"/>
              </a:solidFill>
              <a:effectLst/>
              <a:latin typeface="Cambria" panose="02040503050406030204" pitchFamily="18" charset="0"/>
              <a:ea typeface="+mn-ea"/>
              <a:cs typeface="+mn-cs"/>
            </a:rPr>
            <a:t> smågrisar - </a:t>
          </a:r>
          <a:r>
            <a:rPr lang="sv-SE" sz="1100" b="0">
              <a:solidFill>
                <a:schemeClr val="tx1"/>
              </a:solidFill>
              <a:effectLst/>
              <a:latin typeface="Cambria" panose="02040503050406030204" pitchFamily="18" charset="0"/>
              <a:ea typeface="+mn-ea"/>
              <a:cs typeface="+mn-cs"/>
            </a:rPr>
            <a:t>Ange antal </a:t>
          </a:r>
          <a:r>
            <a:rPr lang="sv-SE" sz="1100" b="0" baseline="0">
              <a:solidFill>
                <a:schemeClr val="tx1"/>
              </a:solidFill>
              <a:effectLst/>
              <a:latin typeface="Cambria" panose="02040503050406030204" pitchFamily="18" charset="0"/>
              <a:ea typeface="+mn-ea"/>
              <a:cs typeface="+mn-cs"/>
            </a:rPr>
            <a:t>smågrisar per sugga och år.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Smågrisar</a:t>
          </a:r>
        </a:p>
        <a:p>
          <a:pPr eaLnBrk="1" fontAlgn="auto" latinLnBrk="0" hangingPunct="1"/>
          <a:r>
            <a:rPr lang="sv-SE" sz="1100" b="0" baseline="0">
              <a:solidFill>
                <a:schemeClr val="tx1"/>
              </a:solidFill>
              <a:effectLst/>
              <a:latin typeface="Cambria" panose="02040503050406030204" pitchFamily="18" charset="0"/>
              <a:ea typeface="+mn-ea"/>
              <a:cs typeface="+mn-cs"/>
            </a:rPr>
            <a:t>Antalet smågrisar per sugga hämtas från rutan "Grundförutsättningar" ovan.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Utslagssugga kött &amp; kassaktion</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suggorna slås ut på årsbasis, ska summan av kvantiteten som går till kött och kassaktion vara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Observera att investeringsstödet beaktas i fliken invetsreringskalkyl.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med hänsyn till konstruktion, material och byggnadsteknik.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Summa 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0" u="none" baseline="0">
              <a:solidFill>
                <a:schemeClr val="tx1"/>
              </a:solidFill>
              <a:effectLst/>
              <a:latin typeface="Cambria" panose="02040503050406030204" pitchFamily="18" charset="0"/>
              <a:ea typeface="+mn-ea"/>
              <a:cs typeface="+mn-cs"/>
            </a:rPr>
            <a:t>Summa kostnader får inte överstiga 550 kr per smågris </a:t>
          </a:r>
          <a:r>
            <a:rPr lang="sv-SE" sz="1100" b="0" baseline="0">
              <a:solidFill>
                <a:schemeClr val="tx1"/>
              </a:solidFill>
              <a:effectLst/>
              <a:latin typeface="Cambria" panose="02040503050406030204" pitchFamily="18" charset="0"/>
              <a:ea typeface="+mn-ea"/>
              <a:cs typeface="+mn-cs"/>
            </a:rPr>
            <a:t>(mål i Handlingsplan Gris).</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Kontrollera beräkningarna!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p>
      </xdr:txBody>
    </xdr:sp>
    <xdr:clientData/>
  </xdr:oneCellAnchor>
  <xdr:oneCellAnchor>
    <xdr:from>
      <xdr:col>4</xdr:col>
      <xdr:colOff>0</xdr:colOff>
      <xdr:row>2</xdr:row>
      <xdr:rowOff>0</xdr:rowOff>
    </xdr:from>
    <xdr:ext cx="2381249" cy="1257300"/>
    <xdr:sp macro="" textlink="">
      <xdr:nvSpPr>
        <xdr:cNvPr id="4" name="textruta 3"/>
        <xdr:cNvSpPr txBox="1"/>
      </xdr:nvSpPr>
      <xdr:spPr>
        <a:xfrm>
          <a:off x="459486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33</v>
      </c>
    </row>
    <row r="2" spans="1:1" x14ac:dyDescent="0.3">
      <c r="A2" s="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workbookViewId="0">
      <pane ySplit="8" topLeftCell="A159" activePane="bottomLeft" state="frozen"/>
      <selection pane="bottomLeft" activeCell="Q1" sqref="Q1"/>
    </sheetView>
  </sheetViews>
  <sheetFormatPr defaultRowHeight="14.4" x14ac:dyDescent="0.3"/>
  <cols>
    <col min="1" max="5" width="0.33203125" style="215" hidden="1" customWidth="1"/>
    <col min="6" max="6" width="16.44140625" hidden="1" customWidth="1"/>
  </cols>
  <sheetData>
    <row r="1" spans="1:6" ht="23.4" x14ac:dyDescent="0.3">
      <c r="A1" s="304" t="s">
        <v>209</v>
      </c>
      <c r="B1" s="288"/>
      <c r="D1" s="215" t="s">
        <v>272</v>
      </c>
    </row>
    <row r="2" spans="1:6" s="268" customFormat="1" x14ac:dyDescent="0.3">
      <c r="A2" s="305"/>
      <c r="B2" s="305"/>
      <c r="C2" s="225" t="s">
        <v>269</v>
      </c>
      <c r="D2" s="225" t="s">
        <v>270</v>
      </c>
      <c r="E2" s="225" t="s">
        <v>281</v>
      </c>
    </row>
    <row r="3" spans="1:6" s="268" customFormat="1" x14ac:dyDescent="0.3">
      <c r="A3" s="506" t="s">
        <v>215</v>
      </c>
      <c r="B3" s="506"/>
      <c r="C3" s="294">
        <v>1.93</v>
      </c>
      <c r="D3" s="294">
        <v>9.1999999999999993</v>
      </c>
      <c r="E3" s="295">
        <f>C3/D3</f>
        <v>0.20978260869565218</v>
      </c>
    </row>
    <row r="4" spans="1:6" s="268" customFormat="1" x14ac:dyDescent="0.3">
      <c r="A4" s="507" t="s">
        <v>216</v>
      </c>
      <c r="B4" s="507"/>
      <c r="C4" s="294">
        <v>2.56</v>
      </c>
      <c r="D4" s="294">
        <v>9.9</v>
      </c>
      <c r="E4" s="295">
        <f t="shared" ref="E4:E5" si="0">C4/D4</f>
        <v>0.25858585858585859</v>
      </c>
    </row>
    <row r="5" spans="1:6" s="268" customFormat="1" x14ac:dyDescent="0.3">
      <c r="A5" s="306" t="s">
        <v>149</v>
      </c>
      <c r="B5" s="306"/>
      <c r="C5" s="294">
        <v>3.38</v>
      </c>
      <c r="D5" s="294">
        <v>9.4</v>
      </c>
      <c r="E5" s="295">
        <f t="shared" si="0"/>
        <v>0.35957446808510635</v>
      </c>
    </row>
    <row r="6" spans="1:6" x14ac:dyDescent="0.3">
      <c r="A6" s="288" t="s">
        <v>282</v>
      </c>
      <c r="B6" s="307">
        <f>PigWin!D6</f>
        <v>2.27</v>
      </c>
    </row>
    <row r="7" spans="1:6" x14ac:dyDescent="0.3">
      <c r="A7" s="288"/>
      <c r="B7" s="308"/>
    </row>
    <row r="8" spans="1:6" s="212" customFormat="1" ht="158.4" x14ac:dyDescent="0.3">
      <c r="A8" s="289" t="s">
        <v>211</v>
      </c>
      <c r="B8" s="289" t="s">
        <v>212</v>
      </c>
      <c r="C8" s="289" t="s">
        <v>214</v>
      </c>
      <c r="D8" s="273" t="s">
        <v>273</v>
      </c>
      <c r="E8" s="289" t="s">
        <v>274</v>
      </c>
    </row>
    <row r="9" spans="1:6" x14ac:dyDescent="0.3">
      <c r="A9" s="297">
        <v>1</v>
      </c>
      <c r="B9" s="297">
        <v>25</v>
      </c>
      <c r="C9" s="297">
        <f>$D$3</f>
        <v>9.1999999999999993</v>
      </c>
      <c r="D9" s="298">
        <f>B9/C9</f>
        <v>2.7173913043478262</v>
      </c>
      <c r="E9" s="280">
        <f>D9*$C$3</f>
        <v>5.2445652173913047</v>
      </c>
      <c r="F9" t="s">
        <v>210</v>
      </c>
    </row>
    <row r="10" spans="1:6" x14ac:dyDescent="0.3">
      <c r="A10" s="297">
        <v>2</v>
      </c>
      <c r="B10" s="297">
        <v>25</v>
      </c>
      <c r="C10" s="297">
        <f t="shared" ref="C10:C73" si="1">$D$3</f>
        <v>9.1999999999999993</v>
      </c>
      <c r="D10" s="298">
        <f t="shared" ref="D10:D73" si="2">B10/C10</f>
        <v>2.7173913043478262</v>
      </c>
      <c r="E10" s="280">
        <f t="shared" ref="E10:E73" si="3">D10*$C$3</f>
        <v>5.2445652173913047</v>
      </c>
    </row>
    <row r="11" spans="1:6" x14ac:dyDescent="0.3">
      <c r="A11" s="297">
        <v>3</v>
      </c>
      <c r="B11" s="297">
        <v>25</v>
      </c>
      <c r="C11" s="297">
        <f t="shared" si="1"/>
        <v>9.1999999999999993</v>
      </c>
      <c r="D11" s="298">
        <f t="shared" si="2"/>
        <v>2.7173913043478262</v>
      </c>
      <c r="E11" s="280">
        <f t="shared" si="3"/>
        <v>5.2445652173913047</v>
      </c>
    </row>
    <row r="12" spans="1:6" x14ac:dyDescent="0.3">
      <c r="A12" s="297">
        <v>4</v>
      </c>
      <c r="B12" s="297">
        <v>25</v>
      </c>
      <c r="C12" s="297">
        <f t="shared" si="1"/>
        <v>9.1999999999999993</v>
      </c>
      <c r="D12" s="298">
        <f t="shared" si="2"/>
        <v>2.7173913043478262</v>
      </c>
      <c r="E12" s="280">
        <f t="shared" si="3"/>
        <v>5.2445652173913047</v>
      </c>
    </row>
    <row r="13" spans="1:6" x14ac:dyDescent="0.3">
      <c r="A13" s="297">
        <v>5</v>
      </c>
      <c r="B13" s="297">
        <v>25</v>
      </c>
      <c r="C13" s="297">
        <f t="shared" si="1"/>
        <v>9.1999999999999993</v>
      </c>
      <c r="D13" s="298">
        <f t="shared" si="2"/>
        <v>2.7173913043478262</v>
      </c>
      <c r="E13" s="280">
        <f t="shared" si="3"/>
        <v>5.2445652173913047</v>
      </c>
    </row>
    <row r="14" spans="1:6" x14ac:dyDescent="0.3">
      <c r="A14" s="297">
        <v>6</v>
      </c>
      <c r="B14" s="297">
        <v>25</v>
      </c>
      <c r="C14" s="297">
        <f t="shared" si="1"/>
        <v>9.1999999999999993</v>
      </c>
      <c r="D14" s="298">
        <f t="shared" si="2"/>
        <v>2.7173913043478262</v>
      </c>
      <c r="E14" s="280">
        <f t="shared" si="3"/>
        <v>5.2445652173913047</v>
      </c>
    </row>
    <row r="15" spans="1:6" x14ac:dyDescent="0.3">
      <c r="A15" s="297">
        <v>7</v>
      </c>
      <c r="B15" s="297">
        <v>28</v>
      </c>
      <c r="C15" s="297">
        <f t="shared" si="1"/>
        <v>9.1999999999999993</v>
      </c>
      <c r="D15" s="298">
        <f t="shared" si="2"/>
        <v>3.0434782608695654</v>
      </c>
      <c r="E15" s="280">
        <f t="shared" si="3"/>
        <v>5.8739130434782609</v>
      </c>
    </row>
    <row r="16" spans="1:6" x14ac:dyDescent="0.3">
      <c r="A16" s="297">
        <v>1</v>
      </c>
      <c r="B16" s="297">
        <v>30</v>
      </c>
      <c r="C16" s="297">
        <f t="shared" si="1"/>
        <v>9.1999999999999993</v>
      </c>
      <c r="D16" s="298">
        <f t="shared" si="2"/>
        <v>3.2608695652173916</v>
      </c>
      <c r="E16" s="280">
        <f t="shared" si="3"/>
        <v>6.2934782608695654</v>
      </c>
      <c r="F16" t="s">
        <v>213</v>
      </c>
    </row>
    <row r="17" spans="1:5" x14ac:dyDescent="0.3">
      <c r="A17" s="297">
        <v>2</v>
      </c>
      <c r="B17" s="297">
        <v>30</v>
      </c>
      <c r="C17" s="297">
        <f t="shared" si="1"/>
        <v>9.1999999999999993</v>
      </c>
      <c r="D17" s="298">
        <f t="shared" si="2"/>
        <v>3.2608695652173916</v>
      </c>
      <c r="E17" s="280">
        <f t="shared" si="3"/>
        <v>6.2934782608695654</v>
      </c>
    </row>
    <row r="18" spans="1:5" x14ac:dyDescent="0.3">
      <c r="A18" s="297">
        <v>3</v>
      </c>
      <c r="B18" s="297">
        <v>30</v>
      </c>
      <c r="C18" s="297">
        <f t="shared" si="1"/>
        <v>9.1999999999999993</v>
      </c>
      <c r="D18" s="298">
        <f t="shared" si="2"/>
        <v>3.2608695652173916</v>
      </c>
      <c r="E18" s="280">
        <f t="shared" si="3"/>
        <v>6.2934782608695654</v>
      </c>
    </row>
    <row r="19" spans="1:5" x14ac:dyDescent="0.3">
      <c r="A19" s="297">
        <v>4</v>
      </c>
      <c r="B19" s="297">
        <v>30</v>
      </c>
      <c r="C19" s="297">
        <f t="shared" si="1"/>
        <v>9.1999999999999993</v>
      </c>
      <c r="D19" s="298">
        <f t="shared" si="2"/>
        <v>3.2608695652173916</v>
      </c>
      <c r="E19" s="280">
        <f t="shared" si="3"/>
        <v>6.2934782608695654</v>
      </c>
    </row>
    <row r="20" spans="1:5" x14ac:dyDescent="0.3">
      <c r="A20" s="297">
        <v>5</v>
      </c>
      <c r="B20" s="297">
        <v>30</v>
      </c>
      <c r="C20" s="297">
        <f t="shared" si="1"/>
        <v>9.1999999999999993</v>
      </c>
      <c r="D20" s="298">
        <f t="shared" si="2"/>
        <v>3.2608695652173916</v>
      </c>
      <c r="E20" s="280">
        <f t="shared" si="3"/>
        <v>6.2934782608695654</v>
      </c>
    </row>
    <row r="21" spans="1:5" x14ac:dyDescent="0.3">
      <c r="A21" s="297">
        <v>6</v>
      </c>
      <c r="B21" s="297">
        <v>30</v>
      </c>
      <c r="C21" s="297">
        <f t="shared" si="1"/>
        <v>9.1999999999999993</v>
      </c>
      <c r="D21" s="298">
        <f t="shared" si="2"/>
        <v>3.2608695652173916</v>
      </c>
      <c r="E21" s="280">
        <f t="shared" si="3"/>
        <v>6.2934782608695654</v>
      </c>
    </row>
    <row r="22" spans="1:5" x14ac:dyDescent="0.3">
      <c r="A22" s="297">
        <v>7</v>
      </c>
      <c r="B22" s="297">
        <v>30</v>
      </c>
      <c r="C22" s="297">
        <f t="shared" si="1"/>
        <v>9.1999999999999993</v>
      </c>
      <c r="D22" s="298">
        <f t="shared" si="2"/>
        <v>3.2608695652173916</v>
      </c>
      <c r="E22" s="280">
        <f t="shared" si="3"/>
        <v>6.2934782608695654</v>
      </c>
    </row>
    <row r="23" spans="1:5" x14ac:dyDescent="0.3">
      <c r="A23" s="297">
        <v>8</v>
      </c>
      <c r="B23" s="297">
        <v>30</v>
      </c>
      <c r="C23" s="297">
        <f t="shared" si="1"/>
        <v>9.1999999999999993</v>
      </c>
      <c r="D23" s="298">
        <f t="shared" si="2"/>
        <v>3.2608695652173916</v>
      </c>
      <c r="E23" s="280">
        <f t="shared" si="3"/>
        <v>6.2934782608695654</v>
      </c>
    </row>
    <row r="24" spans="1:5" x14ac:dyDescent="0.3">
      <c r="A24" s="297">
        <v>9</v>
      </c>
      <c r="B24" s="297">
        <v>30</v>
      </c>
      <c r="C24" s="297">
        <f t="shared" si="1"/>
        <v>9.1999999999999993</v>
      </c>
      <c r="D24" s="298">
        <f t="shared" si="2"/>
        <v>3.2608695652173916</v>
      </c>
      <c r="E24" s="280">
        <f t="shared" si="3"/>
        <v>6.2934782608695654</v>
      </c>
    </row>
    <row r="25" spans="1:5" x14ac:dyDescent="0.3">
      <c r="A25" s="297">
        <v>10</v>
      </c>
      <c r="B25" s="297">
        <v>30</v>
      </c>
      <c r="C25" s="297">
        <f t="shared" si="1"/>
        <v>9.1999999999999993</v>
      </c>
      <c r="D25" s="298">
        <f t="shared" si="2"/>
        <v>3.2608695652173916</v>
      </c>
      <c r="E25" s="280">
        <f t="shared" si="3"/>
        <v>6.2934782608695654</v>
      </c>
    </row>
    <row r="26" spans="1:5" x14ac:dyDescent="0.3">
      <c r="A26" s="297">
        <v>11</v>
      </c>
      <c r="B26" s="297">
        <v>30</v>
      </c>
      <c r="C26" s="297">
        <f t="shared" si="1"/>
        <v>9.1999999999999993</v>
      </c>
      <c r="D26" s="298">
        <f t="shared" si="2"/>
        <v>3.2608695652173916</v>
      </c>
      <c r="E26" s="280">
        <f t="shared" si="3"/>
        <v>6.2934782608695654</v>
      </c>
    </row>
    <row r="27" spans="1:5" x14ac:dyDescent="0.3">
      <c r="A27" s="297">
        <v>12</v>
      </c>
      <c r="B27" s="297">
        <v>30</v>
      </c>
      <c r="C27" s="297">
        <f t="shared" si="1"/>
        <v>9.1999999999999993</v>
      </c>
      <c r="D27" s="298">
        <f t="shared" si="2"/>
        <v>3.2608695652173916</v>
      </c>
      <c r="E27" s="280">
        <f t="shared" si="3"/>
        <v>6.2934782608695654</v>
      </c>
    </row>
    <row r="28" spans="1:5" x14ac:dyDescent="0.3">
      <c r="A28" s="297">
        <v>13</v>
      </c>
      <c r="B28" s="297">
        <v>30</v>
      </c>
      <c r="C28" s="297">
        <f t="shared" si="1"/>
        <v>9.1999999999999993</v>
      </c>
      <c r="D28" s="298">
        <f t="shared" si="2"/>
        <v>3.2608695652173916</v>
      </c>
      <c r="E28" s="280">
        <f t="shared" si="3"/>
        <v>6.2934782608695654</v>
      </c>
    </row>
    <row r="29" spans="1:5" x14ac:dyDescent="0.3">
      <c r="A29" s="297">
        <v>14</v>
      </c>
      <c r="B29" s="297">
        <v>30</v>
      </c>
      <c r="C29" s="297">
        <f t="shared" si="1"/>
        <v>9.1999999999999993</v>
      </c>
      <c r="D29" s="298">
        <f t="shared" si="2"/>
        <v>3.2608695652173916</v>
      </c>
      <c r="E29" s="280">
        <f t="shared" si="3"/>
        <v>6.2934782608695654</v>
      </c>
    </row>
    <row r="30" spans="1:5" x14ac:dyDescent="0.3">
      <c r="A30" s="297">
        <v>15</v>
      </c>
      <c r="B30" s="297">
        <v>30</v>
      </c>
      <c r="C30" s="297">
        <f t="shared" si="1"/>
        <v>9.1999999999999993</v>
      </c>
      <c r="D30" s="298">
        <f t="shared" si="2"/>
        <v>3.2608695652173916</v>
      </c>
      <c r="E30" s="280">
        <f t="shared" si="3"/>
        <v>6.2934782608695654</v>
      </c>
    </row>
    <row r="31" spans="1:5" x14ac:dyDescent="0.3">
      <c r="A31" s="297">
        <v>16</v>
      </c>
      <c r="B31" s="297">
        <v>30</v>
      </c>
      <c r="C31" s="297">
        <f t="shared" si="1"/>
        <v>9.1999999999999993</v>
      </c>
      <c r="D31" s="298">
        <f t="shared" si="2"/>
        <v>3.2608695652173916</v>
      </c>
      <c r="E31" s="280">
        <f t="shared" si="3"/>
        <v>6.2934782608695654</v>
      </c>
    </row>
    <row r="32" spans="1:5" x14ac:dyDescent="0.3">
      <c r="A32" s="297">
        <v>17</v>
      </c>
      <c r="B32" s="297">
        <v>30</v>
      </c>
      <c r="C32" s="297">
        <f t="shared" si="1"/>
        <v>9.1999999999999993</v>
      </c>
      <c r="D32" s="298">
        <f t="shared" si="2"/>
        <v>3.2608695652173916</v>
      </c>
      <c r="E32" s="280">
        <f t="shared" si="3"/>
        <v>6.2934782608695654</v>
      </c>
    </row>
    <row r="33" spans="1:5" x14ac:dyDescent="0.3">
      <c r="A33" s="297">
        <v>18</v>
      </c>
      <c r="B33" s="297">
        <v>30</v>
      </c>
      <c r="C33" s="297">
        <f t="shared" si="1"/>
        <v>9.1999999999999993</v>
      </c>
      <c r="D33" s="298">
        <f t="shared" si="2"/>
        <v>3.2608695652173916</v>
      </c>
      <c r="E33" s="280">
        <f t="shared" si="3"/>
        <v>6.2934782608695654</v>
      </c>
    </row>
    <row r="34" spans="1:5" x14ac:dyDescent="0.3">
      <c r="A34" s="297">
        <v>19</v>
      </c>
      <c r="B34" s="297">
        <v>30</v>
      </c>
      <c r="C34" s="297">
        <f t="shared" si="1"/>
        <v>9.1999999999999993</v>
      </c>
      <c r="D34" s="298">
        <f t="shared" si="2"/>
        <v>3.2608695652173916</v>
      </c>
      <c r="E34" s="280">
        <f t="shared" si="3"/>
        <v>6.2934782608695654</v>
      </c>
    </row>
    <row r="35" spans="1:5" x14ac:dyDescent="0.3">
      <c r="A35" s="297">
        <v>20</v>
      </c>
      <c r="B35" s="297">
        <v>30</v>
      </c>
      <c r="C35" s="297">
        <f t="shared" si="1"/>
        <v>9.1999999999999993</v>
      </c>
      <c r="D35" s="298">
        <f t="shared" si="2"/>
        <v>3.2608695652173916</v>
      </c>
      <c r="E35" s="280">
        <f t="shared" si="3"/>
        <v>6.2934782608695654</v>
      </c>
    </row>
    <row r="36" spans="1:5" x14ac:dyDescent="0.3">
      <c r="A36" s="297">
        <v>21</v>
      </c>
      <c r="B36" s="297">
        <v>30</v>
      </c>
      <c r="C36" s="297">
        <f t="shared" si="1"/>
        <v>9.1999999999999993</v>
      </c>
      <c r="D36" s="298">
        <f t="shared" si="2"/>
        <v>3.2608695652173916</v>
      </c>
      <c r="E36" s="280">
        <f t="shared" si="3"/>
        <v>6.2934782608695654</v>
      </c>
    </row>
    <row r="37" spans="1:5" x14ac:dyDescent="0.3">
      <c r="A37" s="297">
        <v>22</v>
      </c>
      <c r="B37" s="297">
        <v>30</v>
      </c>
      <c r="C37" s="297">
        <f t="shared" si="1"/>
        <v>9.1999999999999993</v>
      </c>
      <c r="D37" s="298">
        <f t="shared" si="2"/>
        <v>3.2608695652173916</v>
      </c>
      <c r="E37" s="280">
        <f t="shared" si="3"/>
        <v>6.2934782608695654</v>
      </c>
    </row>
    <row r="38" spans="1:5" x14ac:dyDescent="0.3">
      <c r="A38" s="297">
        <v>23</v>
      </c>
      <c r="B38" s="297">
        <v>30</v>
      </c>
      <c r="C38" s="297">
        <f t="shared" si="1"/>
        <v>9.1999999999999993</v>
      </c>
      <c r="D38" s="298">
        <f t="shared" si="2"/>
        <v>3.2608695652173916</v>
      </c>
      <c r="E38" s="280">
        <f t="shared" si="3"/>
        <v>6.2934782608695654</v>
      </c>
    </row>
    <row r="39" spans="1:5" x14ac:dyDescent="0.3">
      <c r="A39" s="297">
        <v>24</v>
      </c>
      <c r="B39" s="297">
        <v>30</v>
      </c>
      <c r="C39" s="297">
        <f t="shared" si="1"/>
        <v>9.1999999999999993</v>
      </c>
      <c r="D39" s="298">
        <f t="shared" si="2"/>
        <v>3.2608695652173916</v>
      </c>
      <c r="E39" s="280">
        <f t="shared" si="3"/>
        <v>6.2934782608695654</v>
      </c>
    </row>
    <row r="40" spans="1:5" x14ac:dyDescent="0.3">
      <c r="A40" s="297">
        <v>25</v>
      </c>
      <c r="B40" s="297">
        <v>30</v>
      </c>
      <c r="C40" s="297">
        <f t="shared" si="1"/>
        <v>9.1999999999999993</v>
      </c>
      <c r="D40" s="298">
        <f t="shared" si="2"/>
        <v>3.2608695652173916</v>
      </c>
      <c r="E40" s="280">
        <f t="shared" si="3"/>
        <v>6.2934782608695654</v>
      </c>
    </row>
    <row r="41" spans="1:5" x14ac:dyDescent="0.3">
      <c r="A41" s="297">
        <v>26</v>
      </c>
      <c r="B41" s="297">
        <v>30</v>
      </c>
      <c r="C41" s="297">
        <f t="shared" si="1"/>
        <v>9.1999999999999993</v>
      </c>
      <c r="D41" s="298">
        <f t="shared" si="2"/>
        <v>3.2608695652173916</v>
      </c>
      <c r="E41" s="280">
        <f t="shared" si="3"/>
        <v>6.2934782608695654</v>
      </c>
    </row>
    <row r="42" spans="1:5" x14ac:dyDescent="0.3">
      <c r="A42" s="297">
        <v>27</v>
      </c>
      <c r="B42" s="297">
        <v>30</v>
      </c>
      <c r="C42" s="297">
        <f t="shared" si="1"/>
        <v>9.1999999999999993</v>
      </c>
      <c r="D42" s="298">
        <f t="shared" si="2"/>
        <v>3.2608695652173916</v>
      </c>
      <c r="E42" s="280">
        <f t="shared" si="3"/>
        <v>6.2934782608695654</v>
      </c>
    </row>
    <row r="43" spans="1:5" x14ac:dyDescent="0.3">
      <c r="A43" s="297">
        <v>28</v>
      </c>
      <c r="B43" s="297">
        <v>30</v>
      </c>
      <c r="C43" s="297">
        <f t="shared" si="1"/>
        <v>9.1999999999999993</v>
      </c>
      <c r="D43" s="298">
        <f t="shared" si="2"/>
        <v>3.2608695652173916</v>
      </c>
      <c r="E43" s="280">
        <f t="shared" si="3"/>
        <v>6.2934782608695654</v>
      </c>
    </row>
    <row r="44" spans="1:5" x14ac:dyDescent="0.3">
      <c r="A44" s="297">
        <v>29</v>
      </c>
      <c r="B44" s="297">
        <v>30</v>
      </c>
      <c r="C44" s="297">
        <f t="shared" si="1"/>
        <v>9.1999999999999993</v>
      </c>
      <c r="D44" s="298">
        <f t="shared" si="2"/>
        <v>3.2608695652173916</v>
      </c>
      <c r="E44" s="280">
        <f t="shared" si="3"/>
        <v>6.2934782608695654</v>
      </c>
    </row>
    <row r="45" spans="1:5" x14ac:dyDescent="0.3">
      <c r="A45" s="297">
        <v>30</v>
      </c>
      <c r="B45" s="297">
        <v>30</v>
      </c>
      <c r="C45" s="297">
        <f t="shared" si="1"/>
        <v>9.1999999999999993</v>
      </c>
      <c r="D45" s="298">
        <f t="shared" si="2"/>
        <v>3.2608695652173916</v>
      </c>
      <c r="E45" s="280">
        <f t="shared" si="3"/>
        <v>6.2934782608695654</v>
      </c>
    </row>
    <row r="46" spans="1:5" x14ac:dyDescent="0.3">
      <c r="A46" s="297">
        <v>31</v>
      </c>
      <c r="B46" s="297">
        <v>26</v>
      </c>
      <c r="C46" s="297">
        <f t="shared" si="1"/>
        <v>9.1999999999999993</v>
      </c>
      <c r="D46" s="298">
        <f t="shared" si="2"/>
        <v>2.8260869565217392</v>
      </c>
      <c r="E46" s="280">
        <f t="shared" si="3"/>
        <v>5.4543478260869565</v>
      </c>
    </row>
    <row r="47" spans="1:5" x14ac:dyDescent="0.3">
      <c r="A47" s="297">
        <v>32</v>
      </c>
      <c r="B47" s="297">
        <v>26</v>
      </c>
      <c r="C47" s="297">
        <f t="shared" si="1"/>
        <v>9.1999999999999993</v>
      </c>
      <c r="D47" s="298">
        <f t="shared" si="2"/>
        <v>2.8260869565217392</v>
      </c>
      <c r="E47" s="280">
        <f t="shared" si="3"/>
        <v>5.4543478260869565</v>
      </c>
    </row>
    <row r="48" spans="1:5" x14ac:dyDescent="0.3">
      <c r="A48" s="297">
        <v>33</v>
      </c>
      <c r="B48" s="297">
        <v>26</v>
      </c>
      <c r="C48" s="297">
        <f t="shared" si="1"/>
        <v>9.1999999999999993</v>
      </c>
      <c r="D48" s="298">
        <f t="shared" si="2"/>
        <v>2.8260869565217392</v>
      </c>
      <c r="E48" s="280">
        <f t="shared" si="3"/>
        <v>5.4543478260869565</v>
      </c>
    </row>
    <row r="49" spans="1:5" x14ac:dyDescent="0.3">
      <c r="A49" s="297">
        <v>34</v>
      </c>
      <c r="B49" s="297">
        <v>26</v>
      </c>
      <c r="C49" s="297">
        <f t="shared" si="1"/>
        <v>9.1999999999999993</v>
      </c>
      <c r="D49" s="298">
        <f t="shared" si="2"/>
        <v>2.8260869565217392</v>
      </c>
      <c r="E49" s="280">
        <f t="shared" si="3"/>
        <v>5.4543478260869565</v>
      </c>
    </row>
    <row r="50" spans="1:5" x14ac:dyDescent="0.3">
      <c r="A50" s="297">
        <v>35</v>
      </c>
      <c r="B50" s="297">
        <v>26</v>
      </c>
      <c r="C50" s="297">
        <f t="shared" si="1"/>
        <v>9.1999999999999993</v>
      </c>
      <c r="D50" s="298">
        <f t="shared" si="2"/>
        <v>2.8260869565217392</v>
      </c>
      <c r="E50" s="280">
        <f t="shared" si="3"/>
        <v>5.4543478260869565</v>
      </c>
    </row>
    <row r="51" spans="1:5" x14ac:dyDescent="0.3">
      <c r="A51" s="297">
        <v>36</v>
      </c>
      <c r="B51" s="297">
        <v>26</v>
      </c>
      <c r="C51" s="297">
        <f t="shared" si="1"/>
        <v>9.1999999999999993</v>
      </c>
      <c r="D51" s="298">
        <f t="shared" si="2"/>
        <v>2.8260869565217392</v>
      </c>
      <c r="E51" s="280">
        <f t="shared" si="3"/>
        <v>5.4543478260869565</v>
      </c>
    </row>
    <row r="52" spans="1:5" x14ac:dyDescent="0.3">
      <c r="A52" s="297">
        <v>37</v>
      </c>
      <c r="B52" s="297">
        <v>26</v>
      </c>
      <c r="C52" s="297">
        <f t="shared" si="1"/>
        <v>9.1999999999999993</v>
      </c>
      <c r="D52" s="298">
        <f t="shared" si="2"/>
        <v>2.8260869565217392</v>
      </c>
      <c r="E52" s="280">
        <f t="shared" si="3"/>
        <v>5.4543478260869565</v>
      </c>
    </row>
    <row r="53" spans="1:5" x14ac:dyDescent="0.3">
      <c r="A53" s="297">
        <v>38</v>
      </c>
      <c r="B53" s="297">
        <v>26</v>
      </c>
      <c r="C53" s="297">
        <f t="shared" si="1"/>
        <v>9.1999999999999993</v>
      </c>
      <c r="D53" s="298">
        <f t="shared" si="2"/>
        <v>2.8260869565217392</v>
      </c>
      <c r="E53" s="280">
        <f t="shared" si="3"/>
        <v>5.4543478260869565</v>
      </c>
    </row>
    <row r="54" spans="1:5" x14ac:dyDescent="0.3">
      <c r="A54" s="297">
        <v>39</v>
      </c>
      <c r="B54" s="297">
        <v>26</v>
      </c>
      <c r="C54" s="297">
        <f t="shared" si="1"/>
        <v>9.1999999999999993</v>
      </c>
      <c r="D54" s="298">
        <f t="shared" si="2"/>
        <v>2.8260869565217392</v>
      </c>
      <c r="E54" s="280">
        <f t="shared" si="3"/>
        <v>5.4543478260869565</v>
      </c>
    </row>
    <row r="55" spans="1:5" x14ac:dyDescent="0.3">
      <c r="A55" s="297">
        <v>40</v>
      </c>
      <c r="B55" s="297">
        <v>26</v>
      </c>
      <c r="C55" s="297">
        <f t="shared" si="1"/>
        <v>9.1999999999999993</v>
      </c>
      <c r="D55" s="298">
        <f t="shared" si="2"/>
        <v>2.8260869565217392</v>
      </c>
      <c r="E55" s="280">
        <f t="shared" si="3"/>
        <v>5.4543478260869565</v>
      </c>
    </row>
    <row r="56" spans="1:5" x14ac:dyDescent="0.3">
      <c r="A56" s="297">
        <v>41</v>
      </c>
      <c r="B56" s="297">
        <v>26</v>
      </c>
      <c r="C56" s="297">
        <f t="shared" si="1"/>
        <v>9.1999999999999993</v>
      </c>
      <c r="D56" s="298">
        <f t="shared" si="2"/>
        <v>2.8260869565217392</v>
      </c>
      <c r="E56" s="280">
        <f t="shared" si="3"/>
        <v>5.4543478260869565</v>
      </c>
    </row>
    <row r="57" spans="1:5" x14ac:dyDescent="0.3">
      <c r="A57" s="297">
        <v>42</v>
      </c>
      <c r="B57" s="297">
        <v>26</v>
      </c>
      <c r="C57" s="297">
        <f t="shared" si="1"/>
        <v>9.1999999999999993</v>
      </c>
      <c r="D57" s="298">
        <f t="shared" si="2"/>
        <v>2.8260869565217392</v>
      </c>
      <c r="E57" s="280">
        <f t="shared" si="3"/>
        <v>5.4543478260869565</v>
      </c>
    </row>
    <row r="58" spans="1:5" x14ac:dyDescent="0.3">
      <c r="A58" s="297">
        <v>43</v>
      </c>
      <c r="B58" s="297">
        <v>26</v>
      </c>
      <c r="C58" s="297">
        <f t="shared" si="1"/>
        <v>9.1999999999999993</v>
      </c>
      <c r="D58" s="298">
        <f t="shared" si="2"/>
        <v>2.8260869565217392</v>
      </c>
      <c r="E58" s="280">
        <f t="shared" si="3"/>
        <v>5.4543478260869565</v>
      </c>
    </row>
    <row r="59" spans="1:5" x14ac:dyDescent="0.3">
      <c r="A59" s="297">
        <v>44</v>
      </c>
      <c r="B59" s="297">
        <v>26</v>
      </c>
      <c r="C59" s="297">
        <f t="shared" si="1"/>
        <v>9.1999999999999993</v>
      </c>
      <c r="D59" s="298">
        <f t="shared" si="2"/>
        <v>2.8260869565217392</v>
      </c>
      <c r="E59" s="280">
        <f t="shared" si="3"/>
        <v>5.4543478260869565</v>
      </c>
    </row>
    <row r="60" spans="1:5" x14ac:dyDescent="0.3">
      <c r="A60" s="297">
        <v>45</v>
      </c>
      <c r="B60" s="297">
        <v>26</v>
      </c>
      <c r="C60" s="297">
        <f t="shared" si="1"/>
        <v>9.1999999999999993</v>
      </c>
      <c r="D60" s="298">
        <f t="shared" si="2"/>
        <v>2.8260869565217392</v>
      </c>
      <c r="E60" s="280">
        <f t="shared" si="3"/>
        <v>5.4543478260869565</v>
      </c>
    </row>
    <row r="61" spans="1:5" x14ac:dyDescent="0.3">
      <c r="A61" s="297">
        <v>46</v>
      </c>
      <c r="B61" s="297">
        <v>26</v>
      </c>
      <c r="C61" s="297">
        <f t="shared" si="1"/>
        <v>9.1999999999999993</v>
      </c>
      <c r="D61" s="298">
        <f t="shared" si="2"/>
        <v>2.8260869565217392</v>
      </c>
      <c r="E61" s="280">
        <f t="shared" si="3"/>
        <v>5.4543478260869565</v>
      </c>
    </row>
    <row r="62" spans="1:5" x14ac:dyDescent="0.3">
      <c r="A62" s="297">
        <v>47</v>
      </c>
      <c r="B62" s="297">
        <v>26</v>
      </c>
      <c r="C62" s="297">
        <f t="shared" si="1"/>
        <v>9.1999999999999993</v>
      </c>
      <c r="D62" s="298">
        <f t="shared" si="2"/>
        <v>2.8260869565217392</v>
      </c>
      <c r="E62" s="280">
        <f t="shared" si="3"/>
        <v>5.4543478260869565</v>
      </c>
    </row>
    <row r="63" spans="1:5" x14ac:dyDescent="0.3">
      <c r="A63" s="297">
        <v>48</v>
      </c>
      <c r="B63" s="297">
        <v>26</v>
      </c>
      <c r="C63" s="297">
        <f t="shared" si="1"/>
        <v>9.1999999999999993</v>
      </c>
      <c r="D63" s="298">
        <f t="shared" si="2"/>
        <v>2.8260869565217392</v>
      </c>
      <c r="E63" s="280">
        <f t="shared" si="3"/>
        <v>5.4543478260869565</v>
      </c>
    </row>
    <row r="64" spans="1:5" x14ac:dyDescent="0.3">
      <c r="A64" s="297">
        <v>49</v>
      </c>
      <c r="B64" s="297">
        <v>26</v>
      </c>
      <c r="C64" s="297">
        <f t="shared" si="1"/>
        <v>9.1999999999999993</v>
      </c>
      <c r="D64" s="298">
        <f t="shared" si="2"/>
        <v>2.8260869565217392</v>
      </c>
      <c r="E64" s="280">
        <f t="shared" si="3"/>
        <v>5.4543478260869565</v>
      </c>
    </row>
    <row r="65" spans="1:5" x14ac:dyDescent="0.3">
      <c r="A65" s="297">
        <v>50</v>
      </c>
      <c r="B65" s="297">
        <v>26</v>
      </c>
      <c r="C65" s="297">
        <f t="shared" si="1"/>
        <v>9.1999999999999993</v>
      </c>
      <c r="D65" s="298">
        <f t="shared" si="2"/>
        <v>2.8260869565217392</v>
      </c>
      <c r="E65" s="280">
        <f t="shared" si="3"/>
        <v>5.4543478260869565</v>
      </c>
    </row>
    <row r="66" spans="1:5" x14ac:dyDescent="0.3">
      <c r="A66" s="297">
        <v>51</v>
      </c>
      <c r="B66" s="297">
        <v>26</v>
      </c>
      <c r="C66" s="297">
        <f t="shared" si="1"/>
        <v>9.1999999999999993</v>
      </c>
      <c r="D66" s="298">
        <f t="shared" si="2"/>
        <v>2.8260869565217392</v>
      </c>
      <c r="E66" s="280">
        <f t="shared" si="3"/>
        <v>5.4543478260869565</v>
      </c>
    </row>
    <row r="67" spans="1:5" x14ac:dyDescent="0.3">
      <c r="A67" s="297">
        <v>52</v>
      </c>
      <c r="B67" s="297">
        <v>26</v>
      </c>
      <c r="C67" s="297">
        <f t="shared" si="1"/>
        <v>9.1999999999999993</v>
      </c>
      <c r="D67" s="298">
        <f t="shared" si="2"/>
        <v>2.8260869565217392</v>
      </c>
      <c r="E67" s="280">
        <f t="shared" si="3"/>
        <v>5.4543478260869565</v>
      </c>
    </row>
    <row r="68" spans="1:5" x14ac:dyDescent="0.3">
      <c r="A68" s="297">
        <v>53</v>
      </c>
      <c r="B68" s="297">
        <v>26</v>
      </c>
      <c r="C68" s="297">
        <f t="shared" si="1"/>
        <v>9.1999999999999993</v>
      </c>
      <c r="D68" s="298">
        <f t="shared" si="2"/>
        <v>2.8260869565217392</v>
      </c>
      <c r="E68" s="280">
        <f t="shared" si="3"/>
        <v>5.4543478260869565</v>
      </c>
    </row>
    <row r="69" spans="1:5" x14ac:dyDescent="0.3">
      <c r="A69" s="297">
        <v>54</v>
      </c>
      <c r="B69" s="297">
        <v>26</v>
      </c>
      <c r="C69" s="297">
        <f t="shared" si="1"/>
        <v>9.1999999999999993</v>
      </c>
      <c r="D69" s="298">
        <f t="shared" si="2"/>
        <v>2.8260869565217392</v>
      </c>
      <c r="E69" s="280">
        <f t="shared" si="3"/>
        <v>5.4543478260869565</v>
      </c>
    </row>
    <row r="70" spans="1:5" x14ac:dyDescent="0.3">
      <c r="A70" s="297">
        <v>55</v>
      </c>
      <c r="B70" s="297">
        <v>26</v>
      </c>
      <c r="C70" s="297">
        <f t="shared" si="1"/>
        <v>9.1999999999999993</v>
      </c>
      <c r="D70" s="298">
        <f t="shared" si="2"/>
        <v>2.8260869565217392</v>
      </c>
      <c r="E70" s="280">
        <f t="shared" si="3"/>
        <v>5.4543478260869565</v>
      </c>
    </row>
    <row r="71" spans="1:5" x14ac:dyDescent="0.3">
      <c r="A71" s="297">
        <v>56</v>
      </c>
      <c r="B71" s="297">
        <v>26</v>
      </c>
      <c r="C71" s="297">
        <f t="shared" si="1"/>
        <v>9.1999999999999993</v>
      </c>
      <c r="D71" s="298">
        <f t="shared" si="2"/>
        <v>2.8260869565217392</v>
      </c>
      <c r="E71" s="280">
        <f t="shared" si="3"/>
        <v>5.4543478260869565</v>
      </c>
    </row>
    <row r="72" spans="1:5" x14ac:dyDescent="0.3">
      <c r="A72" s="297">
        <v>57</v>
      </c>
      <c r="B72" s="297">
        <v>26</v>
      </c>
      <c r="C72" s="297">
        <f t="shared" si="1"/>
        <v>9.1999999999999993</v>
      </c>
      <c r="D72" s="298">
        <f t="shared" si="2"/>
        <v>2.8260869565217392</v>
      </c>
      <c r="E72" s="280">
        <f t="shared" si="3"/>
        <v>5.4543478260869565</v>
      </c>
    </row>
    <row r="73" spans="1:5" x14ac:dyDescent="0.3">
      <c r="A73" s="297">
        <v>58</v>
      </c>
      <c r="B73" s="297">
        <v>26</v>
      </c>
      <c r="C73" s="297">
        <f t="shared" si="1"/>
        <v>9.1999999999999993</v>
      </c>
      <c r="D73" s="298">
        <f t="shared" si="2"/>
        <v>2.8260869565217392</v>
      </c>
      <c r="E73" s="280">
        <f t="shared" si="3"/>
        <v>5.4543478260869565</v>
      </c>
    </row>
    <row r="74" spans="1:5" x14ac:dyDescent="0.3">
      <c r="A74" s="297">
        <v>59</v>
      </c>
      <c r="B74" s="297">
        <v>26</v>
      </c>
      <c r="C74" s="297">
        <f t="shared" ref="C74:C124" si="4">$D$3</f>
        <v>9.1999999999999993</v>
      </c>
      <c r="D74" s="298">
        <f t="shared" ref="D74:D137" si="5">B74/C74</f>
        <v>2.8260869565217392</v>
      </c>
      <c r="E74" s="280">
        <f t="shared" ref="E74:E124" si="6">D74*$C$3</f>
        <v>5.4543478260869565</v>
      </c>
    </row>
    <row r="75" spans="1:5" x14ac:dyDescent="0.3">
      <c r="A75" s="297">
        <v>60</v>
      </c>
      <c r="B75" s="297">
        <v>26</v>
      </c>
      <c r="C75" s="297">
        <f t="shared" si="4"/>
        <v>9.1999999999999993</v>
      </c>
      <c r="D75" s="298">
        <f t="shared" si="5"/>
        <v>2.8260869565217392</v>
      </c>
      <c r="E75" s="280">
        <f t="shared" si="6"/>
        <v>5.4543478260869565</v>
      </c>
    </row>
    <row r="76" spans="1:5" x14ac:dyDescent="0.3">
      <c r="A76" s="297">
        <v>61</v>
      </c>
      <c r="B76" s="297">
        <v>26</v>
      </c>
      <c r="C76" s="297">
        <f t="shared" si="4"/>
        <v>9.1999999999999993</v>
      </c>
      <c r="D76" s="298">
        <f t="shared" si="5"/>
        <v>2.8260869565217392</v>
      </c>
      <c r="E76" s="280">
        <f t="shared" si="6"/>
        <v>5.4543478260869565</v>
      </c>
    </row>
    <row r="77" spans="1:5" x14ac:dyDescent="0.3">
      <c r="A77" s="297">
        <v>62</v>
      </c>
      <c r="B77" s="297">
        <v>26</v>
      </c>
      <c r="C77" s="297">
        <f t="shared" si="4"/>
        <v>9.1999999999999993</v>
      </c>
      <c r="D77" s="298">
        <f t="shared" si="5"/>
        <v>2.8260869565217392</v>
      </c>
      <c r="E77" s="280">
        <f t="shared" si="6"/>
        <v>5.4543478260869565</v>
      </c>
    </row>
    <row r="78" spans="1:5" x14ac:dyDescent="0.3">
      <c r="A78" s="297">
        <v>63</v>
      </c>
      <c r="B78" s="297">
        <v>26</v>
      </c>
      <c r="C78" s="297">
        <f t="shared" si="4"/>
        <v>9.1999999999999993</v>
      </c>
      <c r="D78" s="298">
        <f t="shared" si="5"/>
        <v>2.8260869565217392</v>
      </c>
      <c r="E78" s="280">
        <f t="shared" si="6"/>
        <v>5.4543478260869565</v>
      </c>
    </row>
    <row r="79" spans="1:5" x14ac:dyDescent="0.3">
      <c r="A79" s="297">
        <v>64</v>
      </c>
      <c r="B79" s="297">
        <v>26</v>
      </c>
      <c r="C79" s="297">
        <f t="shared" si="4"/>
        <v>9.1999999999999993</v>
      </c>
      <c r="D79" s="298">
        <f t="shared" si="5"/>
        <v>2.8260869565217392</v>
      </c>
      <c r="E79" s="280">
        <f t="shared" si="6"/>
        <v>5.4543478260869565</v>
      </c>
    </row>
    <row r="80" spans="1:5" x14ac:dyDescent="0.3">
      <c r="A80" s="297">
        <v>65</v>
      </c>
      <c r="B80" s="297">
        <v>26</v>
      </c>
      <c r="C80" s="297">
        <f t="shared" si="4"/>
        <v>9.1999999999999993</v>
      </c>
      <c r="D80" s="298">
        <f t="shared" si="5"/>
        <v>2.8260869565217392</v>
      </c>
      <c r="E80" s="280">
        <f t="shared" si="6"/>
        <v>5.4543478260869565</v>
      </c>
    </row>
    <row r="81" spans="1:5" x14ac:dyDescent="0.3">
      <c r="A81" s="297">
        <v>66</v>
      </c>
      <c r="B81" s="297">
        <v>26</v>
      </c>
      <c r="C81" s="297">
        <f t="shared" si="4"/>
        <v>9.1999999999999993</v>
      </c>
      <c r="D81" s="298">
        <f t="shared" si="5"/>
        <v>2.8260869565217392</v>
      </c>
      <c r="E81" s="280">
        <f t="shared" si="6"/>
        <v>5.4543478260869565</v>
      </c>
    </row>
    <row r="82" spans="1:5" x14ac:dyDescent="0.3">
      <c r="A82" s="297">
        <v>67</v>
      </c>
      <c r="B82" s="297">
        <v>26</v>
      </c>
      <c r="C82" s="297">
        <f t="shared" si="4"/>
        <v>9.1999999999999993</v>
      </c>
      <c r="D82" s="298">
        <f t="shared" si="5"/>
        <v>2.8260869565217392</v>
      </c>
      <c r="E82" s="280">
        <f t="shared" si="6"/>
        <v>5.4543478260869565</v>
      </c>
    </row>
    <row r="83" spans="1:5" x14ac:dyDescent="0.3">
      <c r="A83" s="297">
        <v>68</v>
      </c>
      <c r="B83" s="297">
        <v>26</v>
      </c>
      <c r="C83" s="297">
        <f t="shared" si="4"/>
        <v>9.1999999999999993</v>
      </c>
      <c r="D83" s="298">
        <f t="shared" si="5"/>
        <v>2.8260869565217392</v>
      </c>
      <c r="E83" s="280">
        <f t="shared" si="6"/>
        <v>5.4543478260869565</v>
      </c>
    </row>
    <row r="84" spans="1:5" x14ac:dyDescent="0.3">
      <c r="A84" s="297">
        <v>69</v>
      </c>
      <c r="B84" s="297">
        <v>26</v>
      </c>
      <c r="C84" s="297">
        <f t="shared" si="4"/>
        <v>9.1999999999999993</v>
      </c>
      <c r="D84" s="298">
        <f t="shared" si="5"/>
        <v>2.8260869565217392</v>
      </c>
      <c r="E84" s="280">
        <f t="shared" si="6"/>
        <v>5.4543478260869565</v>
      </c>
    </row>
    <row r="85" spans="1:5" x14ac:dyDescent="0.3">
      <c r="A85" s="297">
        <v>70</v>
      </c>
      <c r="B85" s="297">
        <v>26</v>
      </c>
      <c r="C85" s="297">
        <f t="shared" si="4"/>
        <v>9.1999999999999993</v>
      </c>
      <c r="D85" s="298">
        <f t="shared" si="5"/>
        <v>2.8260869565217392</v>
      </c>
      <c r="E85" s="280">
        <f t="shared" si="6"/>
        <v>5.4543478260869565</v>
      </c>
    </row>
    <row r="86" spans="1:5" x14ac:dyDescent="0.3">
      <c r="A86" s="297">
        <v>71</v>
      </c>
      <c r="B86" s="297">
        <v>26</v>
      </c>
      <c r="C86" s="297">
        <f t="shared" si="4"/>
        <v>9.1999999999999993</v>
      </c>
      <c r="D86" s="298">
        <f t="shared" si="5"/>
        <v>2.8260869565217392</v>
      </c>
      <c r="E86" s="280">
        <f t="shared" si="6"/>
        <v>5.4543478260869565</v>
      </c>
    </row>
    <row r="87" spans="1:5" x14ac:dyDescent="0.3">
      <c r="A87" s="297">
        <v>72</v>
      </c>
      <c r="B87" s="297">
        <v>26</v>
      </c>
      <c r="C87" s="297">
        <f t="shared" si="4"/>
        <v>9.1999999999999993</v>
      </c>
      <c r="D87" s="298">
        <f t="shared" si="5"/>
        <v>2.8260869565217392</v>
      </c>
      <c r="E87" s="280">
        <f t="shared" si="6"/>
        <v>5.4543478260869565</v>
      </c>
    </row>
    <row r="88" spans="1:5" x14ac:dyDescent="0.3">
      <c r="A88" s="297">
        <v>73</v>
      </c>
      <c r="B88" s="297">
        <v>26</v>
      </c>
      <c r="C88" s="297">
        <f t="shared" si="4"/>
        <v>9.1999999999999993</v>
      </c>
      <c r="D88" s="298">
        <f t="shared" si="5"/>
        <v>2.8260869565217392</v>
      </c>
      <c r="E88" s="280">
        <f t="shared" si="6"/>
        <v>5.4543478260869565</v>
      </c>
    </row>
    <row r="89" spans="1:5" x14ac:dyDescent="0.3">
      <c r="A89" s="297">
        <v>74</v>
      </c>
      <c r="B89" s="297">
        <v>26</v>
      </c>
      <c r="C89" s="297">
        <f t="shared" si="4"/>
        <v>9.1999999999999993</v>
      </c>
      <c r="D89" s="298">
        <f t="shared" si="5"/>
        <v>2.8260869565217392</v>
      </c>
      <c r="E89" s="280">
        <f t="shared" si="6"/>
        <v>5.4543478260869565</v>
      </c>
    </row>
    <row r="90" spans="1:5" x14ac:dyDescent="0.3">
      <c r="A90" s="297">
        <v>75</v>
      </c>
      <c r="B90" s="297">
        <v>26</v>
      </c>
      <c r="C90" s="297">
        <f t="shared" si="4"/>
        <v>9.1999999999999993</v>
      </c>
      <c r="D90" s="298">
        <f t="shared" si="5"/>
        <v>2.8260869565217392</v>
      </c>
      <c r="E90" s="280">
        <f t="shared" si="6"/>
        <v>5.4543478260869565</v>
      </c>
    </row>
    <row r="91" spans="1:5" x14ac:dyDescent="0.3">
      <c r="A91" s="297">
        <v>76</v>
      </c>
      <c r="B91" s="297">
        <v>26</v>
      </c>
      <c r="C91" s="297">
        <f t="shared" si="4"/>
        <v>9.1999999999999993</v>
      </c>
      <c r="D91" s="298">
        <f t="shared" si="5"/>
        <v>2.8260869565217392</v>
      </c>
      <c r="E91" s="280">
        <f t="shared" si="6"/>
        <v>5.4543478260869565</v>
      </c>
    </row>
    <row r="92" spans="1:5" x14ac:dyDescent="0.3">
      <c r="A92" s="297">
        <v>77</v>
      </c>
      <c r="B92" s="297">
        <v>26</v>
      </c>
      <c r="C92" s="297">
        <f t="shared" si="4"/>
        <v>9.1999999999999993</v>
      </c>
      <c r="D92" s="298">
        <f t="shared" si="5"/>
        <v>2.8260869565217392</v>
      </c>
      <c r="E92" s="280">
        <f t="shared" si="6"/>
        <v>5.4543478260869565</v>
      </c>
    </row>
    <row r="93" spans="1:5" x14ac:dyDescent="0.3">
      <c r="A93" s="297">
        <v>78</v>
      </c>
      <c r="B93" s="297">
        <v>26</v>
      </c>
      <c r="C93" s="297">
        <f t="shared" si="4"/>
        <v>9.1999999999999993</v>
      </c>
      <c r="D93" s="298">
        <f t="shared" si="5"/>
        <v>2.8260869565217392</v>
      </c>
      <c r="E93" s="280">
        <f t="shared" si="6"/>
        <v>5.4543478260869565</v>
      </c>
    </row>
    <row r="94" spans="1:5" x14ac:dyDescent="0.3">
      <c r="A94" s="297">
        <v>79</v>
      </c>
      <c r="B94" s="297">
        <v>26</v>
      </c>
      <c r="C94" s="297">
        <f t="shared" si="4"/>
        <v>9.1999999999999993</v>
      </c>
      <c r="D94" s="298">
        <f t="shared" si="5"/>
        <v>2.8260869565217392</v>
      </c>
      <c r="E94" s="280">
        <f t="shared" si="6"/>
        <v>5.4543478260869565</v>
      </c>
    </row>
    <row r="95" spans="1:5" x14ac:dyDescent="0.3">
      <c r="A95" s="297">
        <v>80</v>
      </c>
      <c r="B95" s="297">
        <v>26</v>
      </c>
      <c r="C95" s="297">
        <f t="shared" si="4"/>
        <v>9.1999999999999993</v>
      </c>
      <c r="D95" s="298">
        <f t="shared" si="5"/>
        <v>2.8260869565217392</v>
      </c>
      <c r="E95" s="280">
        <f t="shared" si="6"/>
        <v>5.4543478260869565</v>
      </c>
    </row>
    <row r="96" spans="1:5" x14ac:dyDescent="0.3">
      <c r="A96" s="297">
        <v>81</v>
      </c>
      <c r="B96" s="297">
        <v>26</v>
      </c>
      <c r="C96" s="297">
        <f t="shared" si="4"/>
        <v>9.1999999999999993</v>
      </c>
      <c r="D96" s="298">
        <f t="shared" si="5"/>
        <v>2.8260869565217392</v>
      </c>
      <c r="E96" s="280">
        <f t="shared" si="6"/>
        <v>5.4543478260869565</v>
      </c>
    </row>
    <row r="97" spans="1:5" x14ac:dyDescent="0.3">
      <c r="A97" s="297">
        <v>82</v>
      </c>
      <c r="B97" s="297">
        <v>26</v>
      </c>
      <c r="C97" s="297">
        <f t="shared" si="4"/>
        <v>9.1999999999999993</v>
      </c>
      <c r="D97" s="298">
        <f t="shared" si="5"/>
        <v>2.8260869565217392</v>
      </c>
      <c r="E97" s="280">
        <f t="shared" si="6"/>
        <v>5.4543478260869565</v>
      </c>
    </row>
    <row r="98" spans="1:5" x14ac:dyDescent="0.3">
      <c r="A98" s="297">
        <v>83</v>
      </c>
      <c r="B98" s="297">
        <v>26</v>
      </c>
      <c r="C98" s="297">
        <f t="shared" si="4"/>
        <v>9.1999999999999993</v>
      </c>
      <c r="D98" s="298">
        <f t="shared" si="5"/>
        <v>2.8260869565217392</v>
      </c>
      <c r="E98" s="280">
        <f t="shared" si="6"/>
        <v>5.4543478260869565</v>
      </c>
    </row>
    <row r="99" spans="1:5" x14ac:dyDescent="0.3">
      <c r="A99" s="297">
        <v>84</v>
      </c>
      <c r="B99" s="297">
        <v>26</v>
      </c>
      <c r="C99" s="297">
        <f t="shared" si="4"/>
        <v>9.1999999999999993</v>
      </c>
      <c r="D99" s="298">
        <f t="shared" si="5"/>
        <v>2.8260869565217392</v>
      </c>
      <c r="E99" s="280">
        <f t="shared" si="6"/>
        <v>5.4543478260869565</v>
      </c>
    </row>
    <row r="100" spans="1:5" x14ac:dyDescent="0.3">
      <c r="A100" s="297">
        <v>85</v>
      </c>
      <c r="B100" s="297">
        <v>26</v>
      </c>
      <c r="C100" s="297">
        <f t="shared" si="4"/>
        <v>9.1999999999999993</v>
      </c>
      <c r="D100" s="298">
        <f t="shared" si="5"/>
        <v>2.8260869565217392</v>
      </c>
      <c r="E100" s="280">
        <f t="shared" si="6"/>
        <v>5.4543478260869565</v>
      </c>
    </row>
    <row r="101" spans="1:5" x14ac:dyDescent="0.3">
      <c r="A101" s="297">
        <v>86</v>
      </c>
      <c r="B101" s="297">
        <v>30</v>
      </c>
      <c r="C101" s="297">
        <f t="shared" si="4"/>
        <v>9.1999999999999993</v>
      </c>
      <c r="D101" s="298">
        <f t="shared" si="5"/>
        <v>3.2608695652173916</v>
      </c>
      <c r="E101" s="280">
        <f t="shared" si="6"/>
        <v>6.2934782608695654</v>
      </c>
    </row>
    <row r="102" spans="1:5" x14ac:dyDescent="0.3">
      <c r="A102" s="297">
        <v>87</v>
      </c>
      <c r="B102" s="297">
        <v>30</v>
      </c>
      <c r="C102" s="297">
        <f t="shared" si="4"/>
        <v>9.1999999999999993</v>
      </c>
      <c r="D102" s="298">
        <f t="shared" si="5"/>
        <v>3.2608695652173916</v>
      </c>
      <c r="E102" s="280">
        <f t="shared" si="6"/>
        <v>6.2934782608695654</v>
      </c>
    </row>
    <row r="103" spans="1:5" x14ac:dyDescent="0.3">
      <c r="A103" s="297">
        <v>88</v>
      </c>
      <c r="B103" s="297">
        <v>30</v>
      </c>
      <c r="C103" s="297">
        <f t="shared" si="4"/>
        <v>9.1999999999999993</v>
      </c>
      <c r="D103" s="298">
        <f t="shared" si="5"/>
        <v>3.2608695652173916</v>
      </c>
      <c r="E103" s="280">
        <f t="shared" si="6"/>
        <v>6.2934782608695654</v>
      </c>
    </row>
    <row r="104" spans="1:5" x14ac:dyDescent="0.3">
      <c r="A104" s="297">
        <v>89</v>
      </c>
      <c r="B104" s="297">
        <v>30</v>
      </c>
      <c r="C104" s="297">
        <f t="shared" si="4"/>
        <v>9.1999999999999993</v>
      </c>
      <c r="D104" s="298">
        <f t="shared" si="5"/>
        <v>3.2608695652173916</v>
      </c>
      <c r="E104" s="280">
        <f t="shared" si="6"/>
        <v>6.2934782608695654</v>
      </c>
    </row>
    <row r="105" spans="1:5" x14ac:dyDescent="0.3">
      <c r="A105" s="297">
        <v>90</v>
      </c>
      <c r="B105" s="297">
        <v>30</v>
      </c>
      <c r="C105" s="297">
        <f t="shared" si="4"/>
        <v>9.1999999999999993</v>
      </c>
      <c r="D105" s="298">
        <f t="shared" si="5"/>
        <v>3.2608695652173916</v>
      </c>
      <c r="E105" s="280">
        <f t="shared" si="6"/>
        <v>6.2934782608695654</v>
      </c>
    </row>
    <row r="106" spans="1:5" x14ac:dyDescent="0.3">
      <c r="A106" s="297">
        <v>91</v>
      </c>
      <c r="B106" s="297">
        <v>30</v>
      </c>
      <c r="C106" s="297">
        <f t="shared" si="4"/>
        <v>9.1999999999999993</v>
      </c>
      <c r="D106" s="298">
        <f t="shared" si="5"/>
        <v>3.2608695652173916</v>
      </c>
      <c r="E106" s="280">
        <f t="shared" si="6"/>
        <v>6.2934782608695654</v>
      </c>
    </row>
    <row r="107" spans="1:5" x14ac:dyDescent="0.3">
      <c r="A107" s="297">
        <v>92</v>
      </c>
      <c r="B107" s="297">
        <v>30</v>
      </c>
      <c r="C107" s="297">
        <f t="shared" si="4"/>
        <v>9.1999999999999993</v>
      </c>
      <c r="D107" s="298">
        <f t="shared" si="5"/>
        <v>3.2608695652173916</v>
      </c>
      <c r="E107" s="280">
        <f t="shared" si="6"/>
        <v>6.2934782608695654</v>
      </c>
    </row>
    <row r="108" spans="1:5" x14ac:dyDescent="0.3">
      <c r="A108" s="297">
        <v>93</v>
      </c>
      <c r="B108" s="297">
        <v>30</v>
      </c>
      <c r="C108" s="297">
        <f t="shared" si="4"/>
        <v>9.1999999999999993</v>
      </c>
      <c r="D108" s="298">
        <f t="shared" si="5"/>
        <v>3.2608695652173916</v>
      </c>
      <c r="E108" s="280">
        <f t="shared" si="6"/>
        <v>6.2934782608695654</v>
      </c>
    </row>
    <row r="109" spans="1:5" x14ac:dyDescent="0.3">
      <c r="A109" s="297">
        <v>94</v>
      </c>
      <c r="B109" s="297">
        <v>30</v>
      </c>
      <c r="C109" s="297">
        <f t="shared" si="4"/>
        <v>9.1999999999999993</v>
      </c>
      <c r="D109" s="298">
        <f t="shared" si="5"/>
        <v>3.2608695652173916</v>
      </c>
      <c r="E109" s="280">
        <f t="shared" si="6"/>
        <v>6.2934782608695654</v>
      </c>
    </row>
    <row r="110" spans="1:5" x14ac:dyDescent="0.3">
      <c r="A110" s="297">
        <v>95</v>
      </c>
      <c r="B110" s="297">
        <v>30</v>
      </c>
      <c r="C110" s="297">
        <f t="shared" si="4"/>
        <v>9.1999999999999993</v>
      </c>
      <c r="D110" s="298">
        <f t="shared" si="5"/>
        <v>3.2608695652173916</v>
      </c>
      <c r="E110" s="280">
        <f t="shared" si="6"/>
        <v>6.2934782608695654</v>
      </c>
    </row>
    <row r="111" spans="1:5" x14ac:dyDescent="0.3">
      <c r="A111" s="297">
        <v>96</v>
      </c>
      <c r="B111" s="297">
        <v>30</v>
      </c>
      <c r="C111" s="297">
        <f t="shared" si="4"/>
        <v>9.1999999999999993</v>
      </c>
      <c r="D111" s="298">
        <f t="shared" si="5"/>
        <v>3.2608695652173916</v>
      </c>
      <c r="E111" s="280">
        <f t="shared" si="6"/>
        <v>6.2934782608695654</v>
      </c>
    </row>
    <row r="112" spans="1:5" x14ac:dyDescent="0.3">
      <c r="A112" s="297">
        <v>97</v>
      </c>
      <c r="B112" s="297">
        <v>30</v>
      </c>
      <c r="C112" s="297">
        <f t="shared" si="4"/>
        <v>9.1999999999999993</v>
      </c>
      <c r="D112" s="298">
        <f t="shared" si="5"/>
        <v>3.2608695652173916</v>
      </c>
      <c r="E112" s="280">
        <f t="shared" si="6"/>
        <v>6.2934782608695654</v>
      </c>
    </row>
    <row r="113" spans="1:5" x14ac:dyDescent="0.3">
      <c r="A113" s="297">
        <v>98</v>
      </c>
      <c r="B113" s="297">
        <v>30</v>
      </c>
      <c r="C113" s="297">
        <f t="shared" si="4"/>
        <v>9.1999999999999993</v>
      </c>
      <c r="D113" s="298">
        <f t="shared" si="5"/>
        <v>3.2608695652173916</v>
      </c>
      <c r="E113" s="280">
        <f t="shared" si="6"/>
        <v>6.2934782608695654</v>
      </c>
    </row>
    <row r="114" spans="1:5" x14ac:dyDescent="0.3">
      <c r="A114" s="297">
        <v>99</v>
      </c>
      <c r="B114" s="297">
        <v>30</v>
      </c>
      <c r="C114" s="297">
        <f t="shared" si="4"/>
        <v>9.1999999999999993</v>
      </c>
      <c r="D114" s="298">
        <f t="shared" si="5"/>
        <v>3.2608695652173916</v>
      </c>
      <c r="E114" s="280">
        <f t="shared" si="6"/>
        <v>6.2934782608695654</v>
      </c>
    </row>
    <row r="115" spans="1:5" x14ac:dyDescent="0.3">
      <c r="A115" s="297">
        <v>100</v>
      </c>
      <c r="B115" s="297">
        <v>30</v>
      </c>
      <c r="C115" s="297">
        <f t="shared" si="4"/>
        <v>9.1999999999999993</v>
      </c>
      <c r="D115" s="298">
        <f t="shared" si="5"/>
        <v>3.2608695652173916</v>
      </c>
      <c r="E115" s="280">
        <f t="shared" si="6"/>
        <v>6.2934782608695654</v>
      </c>
    </row>
    <row r="116" spans="1:5" x14ac:dyDescent="0.3">
      <c r="A116" s="297">
        <v>101</v>
      </c>
      <c r="B116" s="297">
        <v>30</v>
      </c>
      <c r="C116" s="297">
        <f t="shared" si="4"/>
        <v>9.1999999999999993</v>
      </c>
      <c r="D116" s="298">
        <f t="shared" si="5"/>
        <v>3.2608695652173916</v>
      </c>
      <c r="E116" s="280">
        <f t="shared" si="6"/>
        <v>6.2934782608695654</v>
      </c>
    </row>
    <row r="117" spans="1:5" x14ac:dyDescent="0.3">
      <c r="A117" s="297">
        <v>102</v>
      </c>
      <c r="B117" s="297">
        <v>30</v>
      </c>
      <c r="C117" s="297">
        <f t="shared" si="4"/>
        <v>9.1999999999999993</v>
      </c>
      <c r="D117" s="298">
        <f t="shared" si="5"/>
        <v>3.2608695652173916</v>
      </c>
      <c r="E117" s="280">
        <f t="shared" si="6"/>
        <v>6.2934782608695654</v>
      </c>
    </row>
    <row r="118" spans="1:5" x14ac:dyDescent="0.3">
      <c r="A118" s="297">
        <v>103</v>
      </c>
      <c r="B118" s="297">
        <v>30</v>
      </c>
      <c r="C118" s="297">
        <f t="shared" si="4"/>
        <v>9.1999999999999993</v>
      </c>
      <c r="D118" s="298">
        <f t="shared" si="5"/>
        <v>3.2608695652173916</v>
      </c>
      <c r="E118" s="280">
        <f t="shared" si="6"/>
        <v>6.2934782608695654</v>
      </c>
    </row>
    <row r="119" spans="1:5" x14ac:dyDescent="0.3">
      <c r="A119" s="297">
        <v>104</v>
      </c>
      <c r="B119" s="297">
        <v>30</v>
      </c>
      <c r="C119" s="297">
        <f t="shared" si="4"/>
        <v>9.1999999999999993</v>
      </c>
      <c r="D119" s="298">
        <f t="shared" si="5"/>
        <v>3.2608695652173916</v>
      </c>
      <c r="E119" s="280">
        <f t="shared" si="6"/>
        <v>6.2934782608695654</v>
      </c>
    </row>
    <row r="120" spans="1:5" x14ac:dyDescent="0.3">
      <c r="A120" s="297">
        <v>105</v>
      </c>
      <c r="B120" s="297">
        <v>30</v>
      </c>
      <c r="C120" s="297">
        <f t="shared" si="4"/>
        <v>9.1999999999999993</v>
      </c>
      <c r="D120" s="298">
        <f t="shared" si="5"/>
        <v>3.2608695652173916</v>
      </c>
      <c r="E120" s="280">
        <f t="shared" si="6"/>
        <v>6.2934782608695654</v>
      </c>
    </row>
    <row r="121" spans="1:5" x14ac:dyDescent="0.3">
      <c r="A121" s="297">
        <v>106</v>
      </c>
      <c r="B121" s="297">
        <v>30</v>
      </c>
      <c r="C121" s="297">
        <f t="shared" si="4"/>
        <v>9.1999999999999993</v>
      </c>
      <c r="D121" s="298">
        <f t="shared" si="5"/>
        <v>3.2608695652173916</v>
      </c>
      <c r="E121" s="280">
        <f t="shared" si="6"/>
        <v>6.2934782608695654</v>
      </c>
    </row>
    <row r="122" spans="1:5" x14ac:dyDescent="0.3">
      <c r="A122" s="297">
        <v>107</v>
      </c>
      <c r="B122" s="297">
        <v>30</v>
      </c>
      <c r="C122" s="297">
        <f t="shared" si="4"/>
        <v>9.1999999999999993</v>
      </c>
      <c r="D122" s="298">
        <f t="shared" si="5"/>
        <v>3.2608695652173916</v>
      </c>
      <c r="E122" s="280">
        <f t="shared" si="6"/>
        <v>6.2934782608695654</v>
      </c>
    </row>
    <row r="123" spans="1:5" x14ac:dyDescent="0.3">
      <c r="A123" s="297">
        <v>108</v>
      </c>
      <c r="B123" s="297">
        <v>30</v>
      </c>
      <c r="C123" s="297">
        <f t="shared" si="4"/>
        <v>9.1999999999999993</v>
      </c>
      <c r="D123" s="298">
        <f t="shared" si="5"/>
        <v>3.2608695652173916</v>
      </c>
      <c r="E123" s="280">
        <f t="shared" si="6"/>
        <v>6.2934782608695654</v>
      </c>
    </row>
    <row r="124" spans="1:5" x14ac:dyDescent="0.3">
      <c r="A124" s="297">
        <v>109</v>
      </c>
      <c r="B124" s="297">
        <v>30</v>
      </c>
      <c r="C124" s="297">
        <f t="shared" si="4"/>
        <v>9.1999999999999993</v>
      </c>
      <c r="D124" s="298">
        <f t="shared" si="5"/>
        <v>3.2608695652173916</v>
      </c>
      <c r="E124" s="280">
        <f t="shared" si="6"/>
        <v>6.2934782608695654</v>
      </c>
    </row>
    <row r="125" spans="1:5" x14ac:dyDescent="0.3">
      <c r="A125" s="299">
        <v>110</v>
      </c>
      <c r="B125" s="299">
        <v>23</v>
      </c>
      <c r="C125" s="299">
        <f>$D$4</f>
        <v>9.9</v>
      </c>
      <c r="D125" s="300">
        <f t="shared" si="5"/>
        <v>2.3232323232323231</v>
      </c>
      <c r="E125" s="280">
        <f>D125*$C$4</f>
        <v>5.9474747474747476</v>
      </c>
    </row>
    <row r="126" spans="1:5" x14ac:dyDescent="0.3">
      <c r="A126" s="299">
        <v>111</v>
      </c>
      <c r="B126" s="299">
        <v>23</v>
      </c>
      <c r="C126" s="299">
        <f t="shared" ref="C126:C165" si="7">$D$4</f>
        <v>9.9</v>
      </c>
      <c r="D126" s="300">
        <f t="shared" si="5"/>
        <v>2.3232323232323231</v>
      </c>
      <c r="E126" s="280">
        <f t="shared" ref="E126:E165" si="8">D126*$C$4</f>
        <v>5.9474747474747476</v>
      </c>
    </row>
    <row r="127" spans="1:5" x14ac:dyDescent="0.3">
      <c r="A127" s="299">
        <v>112</v>
      </c>
      <c r="B127" s="299">
        <v>23</v>
      </c>
      <c r="C127" s="299">
        <f t="shared" si="7"/>
        <v>9.9</v>
      </c>
      <c r="D127" s="300">
        <f t="shared" si="5"/>
        <v>2.3232323232323231</v>
      </c>
      <c r="E127" s="280">
        <f t="shared" si="8"/>
        <v>5.9474747474747476</v>
      </c>
    </row>
    <row r="128" spans="1:5" x14ac:dyDescent="0.3">
      <c r="A128" s="299">
        <v>113</v>
      </c>
      <c r="B128" s="299">
        <v>19</v>
      </c>
      <c r="C128" s="299">
        <f t="shared" si="7"/>
        <v>9.9</v>
      </c>
      <c r="D128" s="300">
        <f t="shared" si="5"/>
        <v>1.9191919191919191</v>
      </c>
      <c r="E128" s="280">
        <f t="shared" si="8"/>
        <v>4.9131313131313128</v>
      </c>
    </row>
    <row r="129" spans="1:6" x14ac:dyDescent="0.3">
      <c r="A129" s="299">
        <v>114</v>
      </c>
      <c r="B129" s="299">
        <v>19</v>
      </c>
      <c r="C129" s="299">
        <f t="shared" si="7"/>
        <v>9.9</v>
      </c>
      <c r="D129" s="300">
        <f t="shared" si="5"/>
        <v>1.9191919191919191</v>
      </c>
      <c r="E129" s="280">
        <f t="shared" si="8"/>
        <v>4.9131313131313128</v>
      </c>
    </row>
    <row r="130" spans="1:6" x14ac:dyDescent="0.3">
      <c r="A130" s="299">
        <v>115</v>
      </c>
      <c r="B130" s="299">
        <v>19</v>
      </c>
      <c r="C130" s="299">
        <f t="shared" si="7"/>
        <v>9.9</v>
      </c>
      <c r="D130" s="300">
        <f t="shared" si="5"/>
        <v>1.9191919191919191</v>
      </c>
      <c r="E130" s="280">
        <f t="shared" si="8"/>
        <v>4.9131313131313128</v>
      </c>
      <c r="F130" t="s">
        <v>163</v>
      </c>
    </row>
    <row r="131" spans="1:6" x14ac:dyDescent="0.3">
      <c r="A131" s="299">
        <v>1</v>
      </c>
      <c r="B131" s="299">
        <v>25</v>
      </c>
      <c r="C131" s="299">
        <f t="shared" si="7"/>
        <v>9.9</v>
      </c>
      <c r="D131" s="300">
        <f t="shared" si="5"/>
        <v>2.5252525252525251</v>
      </c>
      <c r="E131" s="280">
        <f t="shared" si="8"/>
        <v>6.4646464646464645</v>
      </c>
    </row>
    <row r="132" spans="1:6" x14ac:dyDescent="0.3">
      <c r="A132" s="299">
        <v>2</v>
      </c>
      <c r="B132" s="299">
        <v>30</v>
      </c>
      <c r="C132" s="299">
        <f t="shared" si="7"/>
        <v>9.9</v>
      </c>
      <c r="D132" s="300">
        <f t="shared" si="5"/>
        <v>3.0303030303030303</v>
      </c>
      <c r="E132" s="280">
        <f t="shared" si="8"/>
        <v>7.7575757575757578</v>
      </c>
    </row>
    <row r="133" spans="1:6" x14ac:dyDescent="0.3">
      <c r="A133" s="299">
        <v>3</v>
      </c>
      <c r="B133" s="299">
        <v>35</v>
      </c>
      <c r="C133" s="299">
        <f t="shared" si="7"/>
        <v>9.9</v>
      </c>
      <c r="D133" s="300">
        <f t="shared" si="5"/>
        <v>3.535353535353535</v>
      </c>
      <c r="E133" s="280">
        <f t="shared" si="8"/>
        <v>9.0505050505050502</v>
      </c>
    </row>
    <row r="134" spans="1:6" x14ac:dyDescent="0.3">
      <c r="A134" s="299">
        <v>4</v>
      </c>
      <c r="B134" s="299">
        <v>40</v>
      </c>
      <c r="C134" s="299">
        <f t="shared" si="7"/>
        <v>9.9</v>
      </c>
      <c r="D134" s="300">
        <f t="shared" si="5"/>
        <v>4.0404040404040407</v>
      </c>
      <c r="E134" s="280">
        <f t="shared" si="8"/>
        <v>10.343434343434344</v>
      </c>
    </row>
    <row r="135" spans="1:6" x14ac:dyDescent="0.3">
      <c r="A135" s="299">
        <v>5</v>
      </c>
      <c r="B135" s="299">
        <v>45</v>
      </c>
      <c r="C135" s="299">
        <f t="shared" si="7"/>
        <v>9.9</v>
      </c>
      <c r="D135" s="300">
        <f t="shared" si="5"/>
        <v>4.545454545454545</v>
      </c>
      <c r="E135" s="280">
        <f t="shared" si="8"/>
        <v>11.636363636363635</v>
      </c>
    </row>
    <row r="136" spans="1:6" x14ac:dyDescent="0.3">
      <c r="A136" s="299">
        <v>6</v>
      </c>
      <c r="B136" s="299">
        <v>50</v>
      </c>
      <c r="C136" s="299">
        <f t="shared" si="7"/>
        <v>9.9</v>
      </c>
      <c r="D136" s="300">
        <f t="shared" si="5"/>
        <v>5.0505050505050502</v>
      </c>
      <c r="E136" s="280">
        <f t="shared" si="8"/>
        <v>12.929292929292929</v>
      </c>
    </row>
    <row r="137" spans="1:6" x14ac:dyDescent="0.3">
      <c r="A137" s="299">
        <v>7</v>
      </c>
      <c r="B137" s="299">
        <v>50</v>
      </c>
      <c r="C137" s="299">
        <f t="shared" si="7"/>
        <v>9.9</v>
      </c>
      <c r="D137" s="300">
        <f t="shared" si="5"/>
        <v>5.0505050505050502</v>
      </c>
      <c r="E137" s="280">
        <f t="shared" si="8"/>
        <v>12.929292929292929</v>
      </c>
    </row>
    <row r="138" spans="1:6" x14ac:dyDescent="0.3">
      <c r="A138" s="299">
        <v>8</v>
      </c>
      <c r="B138" s="299">
        <v>55</v>
      </c>
      <c r="C138" s="299">
        <f t="shared" si="7"/>
        <v>9.9</v>
      </c>
      <c r="D138" s="300">
        <f t="shared" ref="D138:D165" si="9">B138/C138</f>
        <v>5.5555555555555554</v>
      </c>
      <c r="E138" s="280">
        <f t="shared" si="8"/>
        <v>14.222222222222221</v>
      </c>
    </row>
    <row r="139" spans="1:6" x14ac:dyDescent="0.3">
      <c r="A139" s="299">
        <v>9</v>
      </c>
      <c r="B139" s="299">
        <v>60</v>
      </c>
      <c r="C139" s="299">
        <f t="shared" si="7"/>
        <v>9.9</v>
      </c>
      <c r="D139" s="300">
        <f t="shared" si="9"/>
        <v>6.0606060606060606</v>
      </c>
      <c r="E139" s="280">
        <f t="shared" si="8"/>
        <v>15.515151515151516</v>
      </c>
    </row>
    <row r="140" spans="1:6" x14ac:dyDescent="0.3">
      <c r="A140" s="299">
        <v>10</v>
      </c>
      <c r="B140" s="299">
        <v>65</v>
      </c>
      <c r="C140" s="299">
        <f t="shared" si="7"/>
        <v>9.9</v>
      </c>
      <c r="D140" s="300">
        <f t="shared" si="9"/>
        <v>6.5656565656565657</v>
      </c>
      <c r="E140" s="280">
        <f t="shared" si="8"/>
        <v>16.80808080808081</v>
      </c>
    </row>
    <row r="141" spans="1:6" x14ac:dyDescent="0.3">
      <c r="A141" s="299">
        <v>11</v>
      </c>
      <c r="B141" s="299">
        <v>70</v>
      </c>
      <c r="C141" s="299">
        <f t="shared" si="7"/>
        <v>9.9</v>
      </c>
      <c r="D141" s="300">
        <f t="shared" si="9"/>
        <v>7.0707070707070701</v>
      </c>
      <c r="E141" s="280">
        <f t="shared" si="8"/>
        <v>18.1010101010101</v>
      </c>
    </row>
    <row r="142" spans="1:6" x14ac:dyDescent="0.3">
      <c r="A142" s="299">
        <v>12</v>
      </c>
      <c r="B142" s="299">
        <v>75</v>
      </c>
      <c r="C142" s="299">
        <f t="shared" si="7"/>
        <v>9.9</v>
      </c>
      <c r="D142" s="300">
        <f t="shared" si="9"/>
        <v>7.5757575757575752</v>
      </c>
      <c r="E142" s="280">
        <f t="shared" si="8"/>
        <v>19.393939393939394</v>
      </c>
    </row>
    <row r="143" spans="1:6" x14ac:dyDescent="0.3">
      <c r="A143" s="299">
        <v>13</v>
      </c>
      <c r="B143" s="299">
        <v>77</v>
      </c>
      <c r="C143" s="299">
        <f t="shared" si="7"/>
        <v>9.9</v>
      </c>
      <c r="D143" s="300">
        <f t="shared" si="9"/>
        <v>7.7777777777777777</v>
      </c>
      <c r="E143" s="280">
        <f t="shared" si="8"/>
        <v>19.911111111111111</v>
      </c>
    </row>
    <row r="144" spans="1:6" x14ac:dyDescent="0.3">
      <c r="A144" s="299">
        <v>14</v>
      </c>
      <c r="B144" s="299">
        <v>79</v>
      </c>
      <c r="C144" s="299">
        <f t="shared" si="7"/>
        <v>9.9</v>
      </c>
      <c r="D144" s="300">
        <f t="shared" si="9"/>
        <v>7.9797979797979792</v>
      </c>
      <c r="E144" s="280">
        <f t="shared" si="8"/>
        <v>20.428282828282828</v>
      </c>
    </row>
    <row r="145" spans="1:5" x14ac:dyDescent="0.3">
      <c r="A145" s="299">
        <v>15</v>
      </c>
      <c r="B145" s="299">
        <v>81</v>
      </c>
      <c r="C145" s="299">
        <f t="shared" si="7"/>
        <v>9.9</v>
      </c>
      <c r="D145" s="300">
        <f t="shared" si="9"/>
        <v>8.1818181818181817</v>
      </c>
      <c r="E145" s="280">
        <f t="shared" si="8"/>
        <v>20.945454545454545</v>
      </c>
    </row>
    <row r="146" spans="1:5" x14ac:dyDescent="0.3">
      <c r="A146" s="299">
        <v>16</v>
      </c>
      <c r="B146" s="299">
        <v>83</v>
      </c>
      <c r="C146" s="299">
        <f t="shared" si="7"/>
        <v>9.9</v>
      </c>
      <c r="D146" s="300">
        <f t="shared" si="9"/>
        <v>8.3838383838383841</v>
      </c>
      <c r="E146" s="280">
        <f t="shared" si="8"/>
        <v>21.462626262626262</v>
      </c>
    </row>
    <row r="147" spans="1:5" x14ac:dyDescent="0.3">
      <c r="A147" s="299">
        <v>17</v>
      </c>
      <c r="B147" s="299">
        <v>85</v>
      </c>
      <c r="C147" s="299">
        <f t="shared" si="7"/>
        <v>9.9</v>
      </c>
      <c r="D147" s="300">
        <f t="shared" si="9"/>
        <v>8.5858585858585847</v>
      </c>
      <c r="E147" s="280">
        <f t="shared" si="8"/>
        <v>21.979797979797976</v>
      </c>
    </row>
    <row r="148" spans="1:5" x14ac:dyDescent="0.3">
      <c r="A148" s="299">
        <v>18</v>
      </c>
      <c r="B148" s="299">
        <v>85</v>
      </c>
      <c r="C148" s="299">
        <f t="shared" si="7"/>
        <v>9.9</v>
      </c>
      <c r="D148" s="300">
        <f t="shared" si="9"/>
        <v>8.5858585858585847</v>
      </c>
      <c r="E148" s="280">
        <f t="shared" si="8"/>
        <v>21.979797979797976</v>
      </c>
    </row>
    <row r="149" spans="1:5" x14ac:dyDescent="0.3">
      <c r="A149" s="299">
        <v>19</v>
      </c>
      <c r="B149" s="299">
        <v>85</v>
      </c>
      <c r="C149" s="299">
        <f t="shared" si="7"/>
        <v>9.9</v>
      </c>
      <c r="D149" s="300">
        <f t="shared" si="9"/>
        <v>8.5858585858585847</v>
      </c>
      <c r="E149" s="280">
        <f t="shared" si="8"/>
        <v>21.979797979797976</v>
      </c>
    </row>
    <row r="150" spans="1:5" x14ac:dyDescent="0.3">
      <c r="A150" s="299">
        <v>20</v>
      </c>
      <c r="B150" s="299">
        <v>85</v>
      </c>
      <c r="C150" s="299">
        <f t="shared" si="7"/>
        <v>9.9</v>
      </c>
      <c r="D150" s="300">
        <f t="shared" si="9"/>
        <v>8.5858585858585847</v>
      </c>
      <c r="E150" s="280">
        <f t="shared" si="8"/>
        <v>21.979797979797976</v>
      </c>
    </row>
    <row r="151" spans="1:5" x14ac:dyDescent="0.3">
      <c r="A151" s="299">
        <v>21</v>
      </c>
      <c r="B151" s="299">
        <v>85</v>
      </c>
      <c r="C151" s="299">
        <f t="shared" si="7"/>
        <v>9.9</v>
      </c>
      <c r="D151" s="300">
        <f t="shared" si="9"/>
        <v>8.5858585858585847</v>
      </c>
      <c r="E151" s="280">
        <f t="shared" si="8"/>
        <v>21.979797979797976</v>
      </c>
    </row>
    <row r="152" spans="1:5" x14ac:dyDescent="0.3">
      <c r="A152" s="299">
        <v>22</v>
      </c>
      <c r="B152" s="299">
        <v>85</v>
      </c>
      <c r="C152" s="299">
        <f t="shared" si="7"/>
        <v>9.9</v>
      </c>
      <c r="D152" s="300">
        <f t="shared" si="9"/>
        <v>8.5858585858585847</v>
      </c>
      <c r="E152" s="280">
        <f t="shared" si="8"/>
        <v>21.979797979797976</v>
      </c>
    </row>
    <row r="153" spans="1:5" x14ac:dyDescent="0.3">
      <c r="A153" s="299">
        <v>23</v>
      </c>
      <c r="B153" s="299">
        <v>85</v>
      </c>
      <c r="C153" s="299">
        <f t="shared" si="7"/>
        <v>9.9</v>
      </c>
      <c r="D153" s="300">
        <f t="shared" si="9"/>
        <v>8.5858585858585847</v>
      </c>
      <c r="E153" s="280">
        <f t="shared" si="8"/>
        <v>21.979797979797976</v>
      </c>
    </row>
    <row r="154" spans="1:5" x14ac:dyDescent="0.3">
      <c r="A154" s="299">
        <v>24</v>
      </c>
      <c r="B154" s="299">
        <v>85</v>
      </c>
      <c r="C154" s="299">
        <f t="shared" si="7"/>
        <v>9.9</v>
      </c>
      <c r="D154" s="300">
        <f t="shared" si="9"/>
        <v>8.5858585858585847</v>
      </c>
      <c r="E154" s="280">
        <f t="shared" si="8"/>
        <v>21.979797979797976</v>
      </c>
    </row>
    <row r="155" spans="1:5" x14ac:dyDescent="0.3">
      <c r="A155" s="299">
        <v>25</v>
      </c>
      <c r="B155" s="299">
        <v>85</v>
      </c>
      <c r="C155" s="299">
        <f t="shared" si="7"/>
        <v>9.9</v>
      </c>
      <c r="D155" s="300">
        <f t="shared" si="9"/>
        <v>8.5858585858585847</v>
      </c>
      <c r="E155" s="280">
        <f t="shared" si="8"/>
        <v>21.979797979797976</v>
      </c>
    </row>
    <row r="156" spans="1:5" x14ac:dyDescent="0.3">
      <c r="A156" s="299">
        <v>26</v>
      </c>
      <c r="B156" s="299">
        <v>85</v>
      </c>
      <c r="C156" s="299">
        <f t="shared" si="7"/>
        <v>9.9</v>
      </c>
      <c r="D156" s="300">
        <f t="shared" si="9"/>
        <v>8.5858585858585847</v>
      </c>
      <c r="E156" s="280">
        <f t="shared" si="8"/>
        <v>21.979797979797976</v>
      </c>
    </row>
    <row r="157" spans="1:5" x14ac:dyDescent="0.3">
      <c r="A157" s="299">
        <v>27</v>
      </c>
      <c r="B157" s="299">
        <v>85</v>
      </c>
      <c r="C157" s="299">
        <f t="shared" si="7"/>
        <v>9.9</v>
      </c>
      <c r="D157" s="300">
        <f t="shared" si="9"/>
        <v>8.5858585858585847</v>
      </c>
      <c r="E157" s="280">
        <f t="shared" si="8"/>
        <v>21.979797979797976</v>
      </c>
    </row>
    <row r="158" spans="1:5" x14ac:dyDescent="0.3">
      <c r="A158" s="299">
        <v>28</v>
      </c>
      <c r="B158" s="299">
        <v>85</v>
      </c>
      <c r="C158" s="299">
        <f t="shared" si="7"/>
        <v>9.9</v>
      </c>
      <c r="D158" s="300">
        <f t="shared" si="9"/>
        <v>8.5858585858585847</v>
      </c>
      <c r="E158" s="280">
        <f t="shared" si="8"/>
        <v>21.979797979797976</v>
      </c>
    </row>
    <row r="159" spans="1:5" x14ac:dyDescent="0.3">
      <c r="A159" s="299">
        <v>29</v>
      </c>
      <c r="B159" s="299">
        <v>85</v>
      </c>
      <c r="C159" s="299">
        <f t="shared" si="7"/>
        <v>9.9</v>
      </c>
      <c r="D159" s="300">
        <f t="shared" si="9"/>
        <v>8.5858585858585847</v>
      </c>
      <c r="E159" s="280">
        <f t="shared" si="8"/>
        <v>21.979797979797976</v>
      </c>
    </row>
    <row r="160" spans="1:5" x14ac:dyDescent="0.3">
      <c r="A160" s="299">
        <v>30</v>
      </c>
      <c r="B160" s="299">
        <v>85</v>
      </c>
      <c r="C160" s="299">
        <f t="shared" si="7"/>
        <v>9.9</v>
      </c>
      <c r="D160" s="300">
        <f t="shared" si="9"/>
        <v>8.5858585858585847</v>
      </c>
      <c r="E160" s="280">
        <f t="shared" si="8"/>
        <v>21.979797979797976</v>
      </c>
    </row>
    <row r="161" spans="1:5" x14ac:dyDescent="0.3">
      <c r="A161" s="299">
        <v>31</v>
      </c>
      <c r="B161" s="299">
        <v>85</v>
      </c>
      <c r="C161" s="299">
        <f t="shared" si="7"/>
        <v>9.9</v>
      </c>
      <c r="D161" s="300">
        <f t="shared" si="9"/>
        <v>8.5858585858585847</v>
      </c>
      <c r="E161" s="280">
        <f t="shared" si="8"/>
        <v>21.979797979797976</v>
      </c>
    </row>
    <row r="162" spans="1:5" x14ac:dyDescent="0.3">
      <c r="A162" s="299">
        <v>32</v>
      </c>
      <c r="B162" s="299">
        <v>85</v>
      </c>
      <c r="C162" s="299">
        <f t="shared" si="7"/>
        <v>9.9</v>
      </c>
      <c r="D162" s="300">
        <f t="shared" si="9"/>
        <v>8.5858585858585847</v>
      </c>
      <c r="E162" s="280">
        <f t="shared" si="8"/>
        <v>21.979797979797976</v>
      </c>
    </row>
    <row r="163" spans="1:5" x14ac:dyDescent="0.3">
      <c r="A163" s="299">
        <v>33</v>
      </c>
      <c r="B163" s="299">
        <v>85</v>
      </c>
      <c r="C163" s="299">
        <f t="shared" si="7"/>
        <v>9.9</v>
      </c>
      <c r="D163" s="300">
        <f t="shared" si="9"/>
        <v>8.5858585858585847</v>
      </c>
      <c r="E163" s="280">
        <f t="shared" si="8"/>
        <v>21.979797979797976</v>
      </c>
    </row>
    <row r="164" spans="1:5" x14ac:dyDescent="0.3">
      <c r="A164" s="299">
        <v>34</v>
      </c>
      <c r="B164" s="299">
        <v>85</v>
      </c>
      <c r="C164" s="299">
        <f t="shared" si="7"/>
        <v>9.9</v>
      </c>
      <c r="D164" s="300">
        <f t="shared" si="9"/>
        <v>8.5858585858585847</v>
      </c>
      <c r="E164" s="280">
        <f t="shared" si="8"/>
        <v>21.979797979797976</v>
      </c>
    </row>
    <row r="165" spans="1:5" ht="15" thickBot="1" x14ac:dyDescent="0.35">
      <c r="A165" s="301">
        <v>35</v>
      </c>
      <c r="B165" s="301">
        <v>85</v>
      </c>
      <c r="C165" s="301">
        <f t="shared" si="7"/>
        <v>9.9</v>
      </c>
      <c r="D165" s="302">
        <f t="shared" si="9"/>
        <v>8.5858585858585847</v>
      </c>
      <c r="E165" s="287">
        <f t="shared" si="8"/>
        <v>21.979797979797976</v>
      </c>
    </row>
    <row r="166" spans="1:5" ht="15" thickTop="1" x14ac:dyDescent="0.3">
      <c r="B166" s="215">
        <f>SUM(B9:B165)</f>
        <v>5889</v>
      </c>
      <c r="D166" s="280">
        <f>SUM(D9:D165)</f>
        <v>619.65744400526978</v>
      </c>
      <c r="E166" s="303">
        <f>SUM(E9:E165)</f>
        <v>1365.2752305665358</v>
      </c>
    </row>
    <row r="168" spans="1:5" x14ac:dyDescent="0.3">
      <c r="C168" s="215" t="s">
        <v>279</v>
      </c>
      <c r="D168" s="215" t="s">
        <v>280</v>
      </c>
      <c r="E168" s="215" t="s">
        <v>193</v>
      </c>
    </row>
    <row r="169" spans="1:5" x14ac:dyDescent="0.3">
      <c r="A169" s="288" t="s">
        <v>278</v>
      </c>
      <c r="C169" s="296">
        <f>SUM(D9:D124)*PigWin!D6</f>
        <v>796.47391304347855</v>
      </c>
      <c r="D169" s="296">
        <f>SUM(D125:D165)*PigWin!D6</f>
        <v>610.14848484848449</v>
      </c>
      <c r="E169" s="296">
        <f>D166*PigWin!D6</f>
        <v>1406.6223978919625</v>
      </c>
    </row>
    <row r="170" spans="1:5" x14ac:dyDescent="0.3">
      <c r="A170" s="288" t="s">
        <v>275</v>
      </c>
      <c r="C170" s="296">
        <f>SUM(E9:E124)*PigWin!D6</f>
        <v>1537.1946521739176</v>
      </c>
      <c r="D170" s="296">
        <f>SUM(E125:E165)*PigWin!D6</f>
        <v>1561.9801212121199</v>
      </c>
      <c r="E170" s="296">
        <f>E166*PigWin!D6</f>
        <v>3099.1747733860361</v>
      </c>
    </row>
  </sheetData>
  <sheetProtection algorithmName="SHA-512" hashValue="kualulAPqhqxrjIcWcfeJiIufUwcvvNGo2YM/Bl7RQ8yGauK1BWr3tINuZzDmPtmWgsf+ytiLsobvz2FOaK69Q==" saltValue="w2HfFvv5qdIYEM46ltzGMw==" spinCount="100000" sheet="1" objects="1" scenarios="1"/>
  <mergeCells count="2">
    <mergeCell ref="A3:B3"/>
    <mergeCell ref="A4: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30" zoomScaleNormal="130" workbookViewId="0">
      <selection activeCell="D11" sqref="D11"/>
    </sheetView>
  </sheetViews>
  <sheetFormatPr defaultRowHeight="14.4" x14ac:dyDescent="0.3"/>
  <cols>
    <col min="1" max="1" width="26.33203125" customWidth="1"/>
    <col min="2" max="3" width="12.33203125" style="290" customWidth="1"/>
    <col min="4" max="4" width="16.5546875" style="290" customWidth="1"/>
  </cols>
  <sheetData>
    <row r="1" spans="1:4" ht="21" x14ac:dyDescent="0.4">
      <c r="A1" s="340" t="s">
        <v>217</v>
      </c>
    </row>
    <row r="2" spans="1:4" ht="21" x14ac:dyDescent="0.4">
      <c r="A2" s="340"/>
      <c r="B2" s="434"/>
      <c r="C2" s="434"/>
      <c r="D2" s="434"/>
    </row>
    <row r="3" spans="1:4" x14ac:dyDescent="0.3">
      <c r="A3" s="455"/>
      <c r="B3" s="508">
        <v>2016</v>
      </c>
      <c r="C3" s="508"/>
      <c r="D3" s="509" t="s">
        <v>219</v>
      </c>
    </row>
    <row r="4" spans="1:4" ht="28.8" x14ac:dyDescent="0.3">
      <c r="A4" s="456"/>
      <c r="B4" s="454" t="s">
        <v>450</v>
      </c>
      <c r="C4" s="454" t="s">
        <v>218</v>
      </c>
      <c r="D4" s="510"/>
    </row>
    <row r="5" spans="1:4" x14ac:dyDescent="0.3">
      <c r="A5" s="292" t="s">
        <v>220</v>
      </c>
      <c r="B5" s="293">
        <v>25.8</v>
      </c>
      <c r="C5" s="293">
        <v>28.2</v>
      </c>
      <c r="D5" s="293">
        <v>30</v>
      </c>
    </row>
    <row r="6" spans="1:4" x14ac:dyDescent="0.3">
      <c r="A6" s="292" t="s">
        <v>221</v>
      </c>
      <c r="B6" s="293">
        <v>2.23</v>
      </c>
      <c r="C6" s="293">
        <v>2.27</v>
      </c>
      <c r="D6" s="293">
        <v>2.27</v>
      </c>
    </row>
    <row r="7" spans="1:4" x14ac:dyDescent="0.3">
      <c r="A7" s="292" t="s">
        <v>222</v>
      </c>
      <c r="B7" s="311">
        <v>0.23200000000000001</v>
      </c>
      <c r="C7" s="311">
        <v>0.221</v>
      </c>
      <c r="D7" s="335">
        <f>0.5/D6</f>
        <v>0.22026431718061673</v>
      </c>
    </row>
    <row r="8" spans="1:4" x14ac:dyDescent="0.3">
      <c r="A8" s="292" t="s">
        <v>223</v>
      </c>
      <c r="B8" s="293">
        <v>32.9</v>
      </c>
      <c r="C8" s="293">
        <v>32.5</v>
      </c>
      <c r="D8" s="314">
        <v>32.5</v>
      </c>
    </row>
    <row r="9" spans="1:4" x14ac:dyDescent="0.3">
      <c r="A9" s="292" t="s">
        <v>291</v>
      </c>
      <c r="B9" s="293">
        <v>14</v>
      </c>
      <c r="C9" s="293">
        <v>14.5</v>
      </c>
      <c r="D9" s="336">
        <f>(D11)/((1-D13))</f>
        <v>15.511116494043021</v>
      </c>
    </row>
    <row r="10" spans="1:4" x14ac:dyDescent="0.3">
      <c r="A10" s="292" t="s">
        <v>292</v>
      </c>
      <c r="B10" s="337">
        <f>B5/B6</f>
        <v>11.5695067264574</v>
      </c>
      <c r="C10" s="337">
        <f>C5/C6</f>
        <v>12.422907488986784</v>
      </c>
      <c r="D10" s="336">
        <f>D5/D6</f>
        <v>13.215859030837004</v>
      </c>
    </row>
    <row r="11" spans="1:4" x14ac:dyDescent="0.3">
      <c r="A11" s="292" t="s">
        <v>224</v>
      </c>
      <c r="B11" s="293">
        <v>11.6</v>
      </c>
      <c r="C11" s="293">
        <v>12.5</v>
      </c>
      <c r="D11" s="336">
        <f>(D5/D6)/((1-D12))</f>
        <v>13.417115767347212</v>
      </c>
    </row>
    <row r="12" spans="1:4" x14ac:dyDescent="0.3">
      <c r="A12" s="292" t="s">
        <v>290</v>
      </c>
      <c r="B12" s="311">
        <v>2.1000000000000001E-2</v>
      </c>
      <c r="C12" s="311">
        <v>1.4999999999999999E-2</v>
      </c>
      <c r="D12" s="315">
        <v>1.4999999999999999E-2</v>
      </c>
    </row>
    <row r="13" spans="1:4" x14ac:dyDescent="0.3">
      <c r="A13" s="292" t="s">
        <v>289</v>
      </c>
      <c r="B13" s="316">
        <v>0.17100000000000001</v>
      </c>
      <c r="C13" s="316">
        <v>0.13700000000000001</v>
      </c>
      <c r="D13" s="316">
        <v>0.13500000000000001</v>
      </c>
    </row>
    <row r="14" spans="1:4" x14ac:dyDescent="0.3">
      <c r="A14" s="309" t="s">
        <v>286</v>
      </c>
      <c r="B14" s="310">
        <v>7.0000000000000007E-2</v>
      </c>
      <c r="C14" s="310">
        <v>4.2999999999999997E-2</v>
      </c>
      <c r="D14" s="310">
        <v>4.2999999999999997E-2</v>
      </c>
    </row>
  </sheetData>
  <sheetProtection selectLockedCells="1" selectUnlockedCells="1"/>
  <mergeCells count="2">
    <mergeCell ref="B3:C3"/>
    <mergeCell ref="D3:D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
  <sheetViews>
    <sheetView topLeftCell="AE1" zoomScale="80" zoomScaleNormal="80" workbookViewId="0">
      <selection activeCell="AP5" sqref="AP5"/>
    </sheetView>
  </sheetViews>
  <sheetFormatPr defaultRowHeight="14.4" x14ac:dyDescent="0.3"/>
  <cols>
    <col min="1" max="23" width="9.6640625" hidden="1" customWidth="1"/>
    <col min="24" max="28" width="9.6640625" style="221" hidden="1" customWidth="1"/>
    <col min="29" max="30" width="9.6640625" hidden="1" customWidth="1"/>
  </cols>
  <sheetData>
    <row r="1" spans="1:28" x14ac:dyDescent="0.3">
      <c r="A1" t="s">
        <v>152</v>
      </c>
    </row>
    <row r="2" spans="1:28" s="212" customFormat="1" ht="15" thickBot="1" x14ac:dyDescent="0.35">
      <c r="A2" s="222"/>
      <c r="B2" s="511" t="s">
        <v>154</v>
      </c>
      <c r="C2" s="511"/>
      <c r="D2" s="511"/>
      <c r="E2" s="511"/>
      <c r="F2" s="223"/>
      <c r="G2" s="223"/>
      <c r="H2" s="223"/>
      <c r="I2" s="223"/>
      <c r="J2" s="212" t="s">
        <v>179</v>
      </c>
      <c r="X2" s="260"/>
      <c r="Y2" s="260"/>
      <c r="Z2" s="260"/>
      <c r="AA2" s="260"/>
      <c r="AB2" s="260"/>
    </row>
    <row r="3" spans="1:28" s="212" customFormat="1" ht="29.4" thickBot="1" x14ac:dyDescent="0.35">
      <c r="A3" s="224" t="s">
        <v>153</v>
      </c>
      <c r="B3" s="225" t="s">
        <v>155</v>
      </c>
      <c r="C3" s="225" t="s">
        <v>185</v>
      </c>
      <c r="D3" s="225"/>
      <c r="E3" s="225" t="s">
        <v>181</v>
      </c>
      <c r="F3" s="225" t="s">
        <v>157</v>
      </c>
      <c r="G3" s="226" t="s">
        <v>173</v>
      </c>
      <c r="H3" s="228"/>
      <c r="I3" s="223"/>
      <c r="J3" s="225" t="s">
        <v>155</v>
      </c>
      <c r="K3" s="225" t="s">
        <v>156</v>
      </c>
      <c r="L3" s="225" t="s">
        <v>157</v>
      </c>
      <c r="M3" s="226" t="s">
        <v>173</v>
      </c>
      <c r="R3" s="237" t="s">
        <v>153</v>
      </c>
      <c r="S3" s="245" t="s">
        <v>186</v>
      </c>
      <c r="T3" s="246" t="s">
        <v>187</v>
      </c>
      <c r="U3" s="247" t="s">
        <v>188</v>
      </c>
      <c r="W3" s="224" t="s">
        <v>153</v>
      </c>
      <c r="X3" s="261" t="s">
        <v>194</v>
      </c>
      <c r="Y3" s="261" t="s">
        <v>196</v>
      </c>
      <c r="Z3" s="261" t="s">
        <v>195</v>
      </c>
      <c r="AA3" s="261" t="s">
        <v>197</v>
      </c>
      <c r="AB3" s="261" t="s">
        <v>198</v>
      </c>
    </row>
    <row r="4" spans="1:28" x14ac:dyDescent="0.3">
      <c r="A4" s="211" t="s">
        <v>192</v>
      </c>
      <c r="B4" s="215">
        <v>5.5</v>
      </c>
      <c r="C4" s="215">
        <v>5.5</v>
      </c>
      <c r="D4" s="230">
        <f>C4/$C$18</f>
        <v>0.17857142857142858</v>
      </c>
      <c r="E4" s="215">
        <v>4.5999999999999996</v>
      </c>
      <c r="F4" s="215">
        <f>E4-B4</f>
        <v>-0.90000000000000036</v>
      </c>
      <c r="G4" s="235">
        <f>(N4*52*60)/(400*'Driftkalkyl - Smågrisar'!$B$5)</f>
        <v>4.1269841269841274</v>
      </c>
      <c r="H4" s="215"/>
      <c r="I4" s="215"/>
      <c r="J4" s="219">
        <f t="shared" ref="J4:J18" si="0">((B4*23*400)/52)/60</f>
        <v>16.217948717948719</v>
      </c>
      <c r="K4" s="219">
        <f t="shared" ref="K4:K18" si="1">((E4*23*400)/52)/60</f>
        <v>13.564102564102564</v>
      </c>
      <c r="L4" s="219">
        <f t="shared" ref="L4:L18" si="2">((F4*23*400)/52)/60</f>
        <v>-2.6538461538461551</v>
      </c>
      <c r="M4" s="219">
        <f t="shared" ref="M4:M18" si="3">((G4*23*400)/52)/60</f>
        <v>12.169312169312171</v>
      </c>
      <c r="N4" s="219">
        <f>D4*$N$18</f>
        <v>15.873015873015873</v>
      </c>
      <c r="R4" s="242" t="s">
        <v>192</v>
      </c>
      <c r="S4" s="249">
        <v>4.1955108034403192</v>
      </c>
      <c r="T4" s="250">
        <v>5.5</v>
      </c>
      <c r="U4" s="248"/>
      <c r="W4" s="211" t="s">
        <v>192</v>
      </c>
      <c r="X4" s="220">
        <f>G4</f>
        <v>4.1269841269841274</v>
      </c>
      <c r="Y4" s="220">
        <f>(X4*'Driftkalkyl - Smågrisar'!$B$5)/60</f>
        <v>2.0634920634920637</v>
      </c>
      <c r="Z4" s="220">
        <f>(Y4*406)/52</f>
        <v>16.111111111111111</v>
      </c>
      <c r="AA4" s="220">
        <f>(Y4*406)/12</f>
        <v>69.814814814814824</v>
      </c>
      <c r="AB4" s="262">
        <f>(Y4*406)</f>
        <v>837.77777777777783</v>
      </c>
    </row>
    <row r="5" spans="1:28" ht="28.8" x14ac:dyDescent="0.3">
      <c r="A5" s="211" t="s">
        <v>158</v>
      </c>
      <c r="B5" s="215">
        <v>8.5</v>
      </c>
      <c r="C5" s="215">
        <v>8.5</v>
      </c>
      <c r="D5" s="230">
        <f t="shared" ref="D5:D17" si="4">C5/$C$18</f>
        <v>0.27597402597402598</v>
      </c>
      <c r="E5" s="215">
        <v>8</v>
      </c>
      <c r="F5" s="215">
        <f t="shared" ref="F5:F17" si="5">E5-B5</f>
        <v>-0.5</v>
      </c>
      <c r="G5" s="235">
        <f>(N5*52*60)/(400*'Driftkalkyl - Smågrisar'!$B$5)</f>
        <v>6.3780663780663778</v>
      </c>
      <c r="H5" s="215"/>
      <c r="I5" s="215"/>
      <c r="J5" s="219">
        <f t="shared" si="0"/>
        <v>25.064102564102562</v>
      </c>
      <c r="K5" s="219">
        <f t="shared" si="1"/>
        <v>23.589743589743591</v>
      </c>
      <c r="L5" s="219">
        <f t="shared" si="2"/>
        <v>-1.4743589743589745</v>
      </c>
      <c r="M5" s="219">
        <f t="shared" si="3"/>
        <v>18.807118807118808</v>
      </c>
      <c r="N5" s="219">
        <f>D5*$N$18</f>
        <v>24.531024531024531</v>
      </c>
      <c r="R5" s="242" t="s">
        <v>158</v>
      </c>
      <c r="S5" s="251">
        <v>6.4839712416804929</v>
      </c>
      <c r="T5" s="252">
        <v>8.5</v>
      </c>
      <c r="U5" s="238"/>
      <c r="W5" s="211" t="s">
        <v>158</v>
      </c>
      <c r="X5" s="220">
        <f t="shared" ref="X5:X17" si="6">G5</f>
        <v>6.3780663780663778</v>
      </c>
      <c r="Y5" s="220">
        <f>(X5*'Driftkalkyl - Smågrisar'!$B$5)/60</f>
        <v>3.1890331890331889</v>
      </c>
      <c r="Z5" s="220">
        <f t="shared" ref="Z5:Z17" si="7">(Y5*406)/52</f>
        <v>24.898989898989896</v>
      </c>
      <c r="AA5" s="220">
        <f t="shared" ref="AA5:AA17" si="8">(Y5*406)/12</f>
        <v>107.89562289562288</v>
      </c>
      <c r="AB5" s="262">
        <f t="shared" ref="AB5:AB17" si="9">(Y5*406)</f>
        <v>1294.7474747474746</v>
      </c>
    </row>
    <row r="6" spans="1:28" x14ac:dyDescent="0.3">
      <c r="A6" s="211" t="s">
        <v>159</v>
      </c>
      <c r="B6" s="215">
        <v>4.4000000000000004</v>
      </c>
      <c r="C6" s="215">
        <v>4.4000000000000004</v>
      </c>
      <c r="D6" s="230">
        <f t="shared" si="4"/>
        <v>0.14285714285714288</v>
      </c>
      <c r="E6" s="215">
        <v>3.4</v>
      </c>
      <c r="F6" s="215">
        <f t="shared" si="5"/>
        <v>-1.0000000000000004</v>
      </c>
      <c r="G6" s="235">
        <f>(N6*52*60)/(400*'Driftkalkyl - Smågrisar'!$B$5)</f>
        <v>3.3015873015873014</v>
      </c>
      <c r="H6" s="215"/>
      <c r="I6" s="215"/>
      <c r="J6" s="219">
        <f t="shared" si="0"/>
        <v>12.974358974358974</v>
      </c>
      <c r="K6" s="219">
        <f t="shared" si="1"/>
        <v>10.025641025641026</v>
      </c>
      <c r="L6" s="219">
        <f t="shared" si="2"/>
        <v>-2.9487179487179498</v>
      </c>
      <c r="M6" s="219">
        <f t="shared" si="3"/>
        <v>9.7354497354497358</v>
      </c>
      <c r="N6" s="219">
        <f t="shared" ref="N6:N17" si="10">D6*$N$18</f>
        <v>12.698412698412699</v>
      </c>
      <c r="R6" s="242" t="s">
        <v>159</v>
      </c>
      <c r="S6" s="251">
        <v>3.356408642752255</v>
      </c>
      <c r="T6" s="252">
        <v>4.4000000000000004</v>
      </c>
      <c r="U6" s="238"/>
      <c r="W6" s="211" t="s">
        <v>159</v>
      </c>
      <c r="X6" s="220">
        <f t="shared" si="6"/>
        <v>3.3015873015873014</v>
      </c>
      <c r="Y6" s="220">
        <f>(X6*'Driftkalkyl - Smågrisar'!$B$5)/60</f>
        <v>1.6507936507936507</v>
      </c>
      <c r="Z6" s="220">
        <f t="shared" si="7"/>
        <v>12.888888888888888</v>
      </c>
      <c r="AA6" s="220">
        <f t="shared" si="8"/>
        <v>55.851851851851848</v>
      </c>
      <c r="AB6" s="262">
        <f t="shared" si="9"/>
        <v>670.22222222222217</v>
      </c>
    </row>
    <row r="7" spans="1:28" x14ac:dyDescent="0.3">
      <c r="A7" s="211" t="s">
        <v>160</v>
      </c>
      <c r="B7" s="215">
        <v>1.8</v>
      </c>
      <c r="C7" s="215">
        <v>1.8</v>
      </c>
      <c r="D7" s="230">
        <f t="shared" si="4"/>
        <v>5.8441558441558447E-2</v>
      </c>
      <c r="E7" s="215">
        <v>1.5</v>
      </c>
      <c r="F7" s="215">
        <f t="shared" si="5"/>
        <v>-0.30000000000000004</v>
      </c>
      <c r="G7" s="235">
        <f>(N7*52*60)/(400*'Driftkalkyl - Smågrisar'!$B$5)</f>
        <v>1.3506493506493507</v>
      </c>
      <c r="H7" s="215"/>
      <c r="I7" s="215"/>
      <c r="J7" s="219">
        <f t="shared" si="0"/>
        <v>5.3076923076923075</v>
      </c>
      <c r="K7" s="219">
        <f t="shared" si="1"/>
        <v>4.4230769230769225</v>
      </c>
      <c r="L7" s="219">
        <f t="shared" si="2"/>
        <v>-0.8846153846153848</v>
      </c>
      <c r="M7" s="219">
        <f t="shared" si="3"/>
        <v>3.9826839826839819</v>
      </c>
      <c r="N7" s="219">
        <f t="shared" si="10"/>
        <v>5.1948051948051948</v>
      </c>
      <c r="R7" s="242" t="s">
        <v>160</v>
      </c>
      <c r="S7" s="251">
        <v>1.3730762629441045</v>
      </c>
      <c r="T7" s="252">
        <v>1.8</v>
      </c>
      <c r="U7" s="238"/>
      <c r="W7" s="211" t="s">
        <v>160</v>
      </c>
      <c r="X7" s="220">
        <f t="shared" si="6"/>
        <v>1.3506493506493507</v>
      </c>
      <c r="Y7" s="220">
        <f>(X7*'Driftkalkyl - Smågrisar'!$B$5)/60</f>
        <v>0.67532467532467533</v>
      </c>
      <c r="Z7" s="220">
        <f t="shared" si="7"/>
        <v>5.2727272727272725</v>
      </c>
      <c r="AA7" s="220">
        <f t="shared" si="8"/>
        <v>22.848484848484848</v>
      </c>
      <c r="AB7" s="262">
        <f t="shared" si="9"/>
        <v>274.18181818181819</v>
      </c>
    </row>
    <row r="8" spans="1:28" ht="28.8" x14ac:dyDescent="0.3">
      <c r="A8" s="211" t="s">
        <v>161</v>
      </c>
      <c r="B8" s="215">
        <v>1.8</v>
      </c>
      <c r="C8" s="215">
        <v>1.8</v>
      </c>
      <c r="D8" s="230">
        <f t="shared" si="4"/>
        <v>5.8441558441558447E-2</v>
      </c>
      <c r="E8" s="215">
        <v>1.4</v>
      </c>
      <c r="F8" s="215">
        <f t="shared" si="5"/>
        <v>-0.40000000000000013</v>
      </c>
      <c r="G8" s="235">
        <v>1.0649999999999999</v>
      </c>
      <c r="H8" s="215"/>
      <c r="I8" s="215"/>
      <c r="J8" s="219">
        <f t="shared" si="0"/>
        <v>5.3076923076923075</v>
      </c>
      <c r="K8" s="219">
        <f t="shared" si="1"/>
        <v>4.1282051282051277</v>
      </c>
      <c r="L8" s="219">
        <f t="shared" si="2"/>
        <v>-1.1794871794871797</v>
      </c>
      <c r="M8" s="219">
        <f t="shared" si="3"/>
        <v>3.1403846153846144</v>
      </c>
      <c r="N8" s="219">
        <f t="shared" si="10"/>
        <v>5.1948051948051948</v>
      </c>
      <c r="R8" s="242" t="s">
        <v>161</v>
      </c>
      <c r="S8" s="251">
        <v>1.3730762629441045</v>
      </c>
      <c r="T8" s="252">
        <v>1.8</v>
      </c>
      <c r="U8" s="238"/>
      <c r="W8" s="211" t="s">
        <v>161</v>
      </c>
      <c r="X8" s="220">
        <f t="shared" si="6"/>
        <v>1.0649999999999999</v>
      </c>
      <c r="Y8" s="220">
        <f>(X8*'Driftkalkyl - Smågrisar'!$B$5)/60</f>
        <v>0.53249999999999997</v>
      </c>
      <c r="Z8" s="220">
        <f t="shared" si="7"/>
        <v>4.1575961538461534</v>
      </c>
      <c r="AA8" s="220">
        <f t="shared" si="8"/>
        <v>18.016249999999999</v>
      </c>
      <c r="AB8" s="262">
        <f t="shared" si="9"/>
        <v>216.19499999999999</v>
      </c>
    </row>
    <row r="9" spans="1:28" ht="76.5" customHeight="1" x14ac:dyDescent="0.3">
      <c r="A9" s="211" t="s">
        <v>162</v>
      </c>
      <c r="B9" s="215">
        <v>2.9</v>
      </c>
      <c r="C9" s="215">
        <v>2.9</v>
      </c>
      <c r="D9" s="230">
        <f t="shared" si="4"/>
        <v>9.4155844155844159E-2</v>
      </c>
      <c r="E9" s="215"/>
      <c r="F9" s="215">
        <f t="shared" si="5"/>
        <v>-2.9</v>
      </c>
      <c r="G9" s="235">
        <v>1.8</v>
      </c>
      <c r="H9" s="215"/>
      <c r="I9" s="215"/>
      <c r="J9" s="219">
        <f t="shared" si="0"/>
        <v>8.5512820512820511</v>
      </c>
      <c r="K9" s="219">
        <f t="shared" si="1"/>
        <v>0</v>
      </c>
      <c r="L9" s="219">
        <f t="shared" si="2"/>
        <v>-8.5512820512820511</v>
      </c>
      <c r="M9" s="219">
        <f t="shared" si="3"/>
        <v>5.3076923076923075</v>
      </c>
      <c r="N9" s="219">
        <f t="shared" si="10"/>
        <v>8.3694083694083687</v>
      </c>
      <c r="R9" s="242" t="s">
        <v>162</v>
      </c>
      <c r="S9" s="251">
        <v>2.2121784236321682</v>
      </c>
      <c r="T9" s="252">
        <v>2.9</v>
      </c>
      <c r="U9" s="238"/>
      <c r="W9" s="211" t="s">
        <v>162</v>
      </c>
      <c r="X9" s="220">
        <f t="shared" si="6"/>
        <v>1.8</v>
      </c>
      <c r="Y9" s="220">
        <f>(X9*'Driftkalkyl - Smågrisar'!$B$5)/60</f>
        <v>0.9</v>
      </c>
      <c r="Z9" s="220">
        <f t="shared" si="7"/>
        <v>7.0269230769230777</v>
      </c>
      <c r="AA9" s="220">
        <f t="shared" si="8"/>
        <v>30.450000000000003</v>
      </c>
      <c r="AB9" s="262">
        <f t="shared" si="9"/>
        <v>365.40000000000003</v>
      </c>
    </row>
    <row r="10" spans="1:28" x14ac:dyDescent="0.3">
      <c r="A10" s="211" t="s">
        <v>163</v>
      </c>
      <c r="B10" s="215">
        <v>2.9</v>
      </c>
      <c r="C10" s="215">
        <v>2.9</v>
      </c>
      <c r="D10" s="230">
        <f t="shared" si="4"/>
        <v>9.4155844155844159E-2</v>
      </c>
      <c r="E10" s="215">
        <v>5.7</v>
      </c>
      <c r="F10" s="215">
        <f t="shared" si="5"/>
        <v>2.8000000000000003</v>
      </c>
      <c r="G10" s="235">
        <f>(N10*52*60)/(400*'Driftkalkyl - Smågrisar'!$B$5)</f>
        <v>2.1760461760461762</v>
      </c>
      <c r="H10" s="215"/>
      <c r="I10" s="215"/>
      <c r="J10" s="219">
        <f t="shared" si="0"/>
        <v>8.5512820512820511</v>
      </c>
      <c r="K10" s="219">
        <f t="shared" si="1"/>
        <v>16.807692307692307</v>
      </c>
      <c r="L10" s="219">
        <f t="shared" si="2"/>
        <v>8.2564102564102573</v>
      </c>
      <c r="M10" s="219">
        <f t="shared" si="3"/>
        <v>6.4165464165464163</v>
      </c>
      <c r="N10" s="219">
        <f t="shared" si="10"/>
        <v>8.3694083694083687</v>
      </c>
      <c r="R10" s="242" t="s">
        <v>163</v>
      </c>
      <c r="S10" s="251">
        <v>2.2121784236321682</v>
      </c>
      <c r="T10" s="252">
        <v>2.9</v>
      </c>
      <c r="U10" s="238"/>
      <c r="W10" s="211" t="s">
        <v>163</v>
      </c>
      <c r="X10" s="220">
        <f t="shared" si="6"/>
        <v>2.1760461760461762</v>
      </c>
      <c r="Y10" s="220">
        <f>(X10*'Driftkalkyl - Smågrisar'!$B$5)/60</f>
        <v>1.0880230880230881</v>
      </c>
      <c r="Z10" s="220">
        <f t="shared" si="7"/>
        <v>8.4949494949494966</v>
      </c>
      <c r="AA10" s="220">
        <f t="shared" si="8"/>
        <v>36.811447811447813</v>
      </c>
      <c r="AB10" s="262">
        <f t="shared" si="9"/>
        <v>441.73737373737379</v>
      </c>
    </row>
    <row r="11" spans="1:28" ht="28.8" x14ac:dyDescent="0.3">
      <c r="A11" s="211" t="s">
        <v>164</v>
      </c>
      <c r="B11" s="215">
        <v>0.7</v>
      </c>
      <c r="C11" s="215">
        <v>0.7</v>
      </c>
      <c r="D11" s="230">
        <f t="shared" si="4"/>
        <v>2.2727272727272728E-2</v>
      </c>
      <c r="E11" s="215">
        <v>0.6</v>
      </c>
      <c r="F11" s="215">
        <f t="shared" si="5"/>
        <v>-9.9999999999999978E-2</v>
      </c>
      <c r="G11" s="235">
        <v>0.41499999999999998</v>
      </c>
      <c r="H11" s="215"/>
      <c r="I11" s="215"/>
      <c r="J11" s="219">
        <f t="shared" si="0"/>
        <v>2.0641025641025639</v>
      </c>
      <c r="K11" s="219">
        <f t="shared" si="1"/>
        <v>1.7692307692307694</v>
      </c>
      <c r="L11" s="219">
        <f t="shared" si="2"/>
        <v>-0.29487179487179477</v>
      </c>
      <c r="M11" s="219">
        <f t="shared" si="3"/>
        <v>1.2237179487179486</v>
      </c>
      <c r="N11" s="219">
        <f t="shared" si="10"/>
        <v>2.0202020202020203</v>
      </c>
      <c r="R11" s="242" t="s">
        <v>164</v>
      </c>
      <c r="S11" s="251">
        <v>0.53397410225604058</v>
      </c>
      <c r="T11" s="252">
        <v>0.7</v>
      </c>
      <c r="U11" s="238"/>
      <c r="W11" s="211" t="s">
        <v>164</v>
      </c>
      <c r="X11" s="220">
        <f t="shared" si="6"/>
        <v>0.41499999999999998</v>
      </c>
      <c r="Y11" s="220">
        <f>(X11*'Driftkalkyl - Smågrisar'!$B$5)/60</f>
        <v>0.20749999999999999</v>
      </c>
      <c r="Z11" s="220">
        <f t="shared" si="7"/>
        <v>1.6200961538461536</v>
      </c>
      <c r="AA11" s="220">
        <f t="shared" si="8"/>
        <v>7.0204166666666659</v>
      </c>
      <c r="AB11" s="262">
        <f t="shared" si="9"/>
        <v>84.24499999999999</v>
      </c>
    </row>
    <row r="12" spans="1:28" x14ac:dyDescent="0.3">
      <c r="A12" s="211" t="s">
        <v>165</v>
      </c>
      <c r="B12" s="215">
        <v>1.6</v>
      </c>
      <c r="C12" s="215">
        <v>1.6</v>
      </c>
      <c r="D12" s="230">
        <f t="shared" si="4"/>
        <v>5.1948051948051958E-2</v>
      </c>
      <c r="E12" s="215">
        <v>1.1000000000000001</v>
      </c>
      <c r="F12" s="215">
        <f t="shared" si="5"/>
        <v>-0.5</v>
      </c>
      <c r="G12" s="235">
        <f>(N12*52*60)/(400*'Driftkalkyl - Smågrisar'!$B$5)</f>
        <v>1.2005772005772009</v>
      </c>
      <c r="H12" s="215"/>
      <c r="I12" s="215"/>
      <c r="J12" s="219">
        <f t="shared" si="0"/>
        <v>4.7179487179487181</v>
      </c>
      <c r="K12" s="219">
        <f t="shared" si="1"/>
        <v>3.2435897435897436</v>
      </c>
      <c r="L12" s="219">
        <f t="shared" si="2"/>
        <v>-1.4743589743589745</v>
      </c>
      <c r="M12" s="219">
        <f t="shared" si="3"/>
        <v>3.5401635401635407</v>
      </c>
      <c r="N12" s="219">
        <f t="shared" si="10"/>
        <v>4.6176046176046182</v>
      </c>
      <c r="R12" s="242" t="s">
        <v>165</v>
      </c>
      <c r="S12" s="251">
        <v>1.2205122337280929</v>
      </c>
      <c r="T12" s="252">
        <v>1.6</v>
      </c>
      <c r="U12" s="238"/>
      <c r="W12" s="211" t="s">
        <v>165</v>
      </c>
      <c r="X12" s="220">
        <f t="shared" si="6"/>
        <v>1.2005772005772009</v>
      </c>
      <c r="Y12" s="220">
        <f>(X12*'Driftkalkyl - Smågrisar'!$B$5)/60</f>
        <v>0.60028860028860043</v>
      </c>
      <c r="Z12" s="220">
        <f t="shared" si="7"/>
        <v>4.6868686868686877</v>
      </c>
      <c r="AA12" s="220">
        <f t="shared" si="8"/>
        <v>20.309764309764315</v>
      </c>
      <c r="AB12" s="262">
        <f t="shared" si="9"/>
        <v>243.71717171717177</v>
      </c>
    </row>
    <row r="13" spans="1:28" x14ac:dyDescent="0.3">
      <c r="A13" s="211" t="s">
        <v>166</v>
      </c>
      <c r="B13" s="232">
        <v>3.5</v>
      </c>
      <c r="C13" s="232"/>
      <c r="D13" s="230">
        <f t="shared" si="4"/>
        <v>0</v>
      </c>
      <c r="E13" s="215">
        <v>3.7</v>
      </c>
      <c r="F13" s="215">
        <f t="shared" si="5"/>
        <v>0.20000000000000018</v>
      </c>
      <c r="G13" s="235">
        <v>3.5</v>
      </c>
      <c r="H13" s="215"/>
      <c r="I13" s="215"/>
      <c r="J13" s="219">
        <f t="shared" si="0"/>
        <v>10.320512820512821</v>
      </c>
      <c r="K13" s="219">
        <f t="shared" si="1"/>
        <v>10.910256410256411</v>
      </c>
      <c r="L13" s="219">
        <f t="shared" si="2"/>
        <v>0.5897435897435902</v>
      </c>
      <c r="M13" s="219">
        <f t="shared" si="3"/>
        <v>10.320512820512821</v>
      </c>
      <c r="N13" s="219">
        <f t="shared" si="10"/>
        <v>0</v>
      </c>
      <c r="R13" s="242" t="s">
        <v>166</v>
      </c>
      <c r="S13" s="251">
        <v>3.5</v>
      </c>
      <c r="T13" s="252">
        <v>3.5</v>
      </c>
      <c r="U13" s="238"/>
      <c r="W13" s="211" t="s">
        <v>166</v>
      </c>
      <c r="X13" s="220">
        <f t="shared" si="6"/>
        <v>3.5</v>
      </c>
      <c r="Y13" s="220">
        <f>(X13*'Driftkalkyl - Smågrisar'!$B$5)/60</f>
        <v>1.75</v>
      </c>
      <c r="Z13" s="220">
        <f t="shared" si="7"/>
        <v>13.663461538461538</v>
      </c>
      <c r="AA13" s="220">
        <f t="shared" si="8"/>
        <v>59.208333333333336</v>
      </c>
      <c r="AB13" s="262">
        <f t="shared" si="9"/>
        <v>710.5</v>
      </c>
    </row>
    <row r="14" spans="1:28" ht="57" customHeight="1" x14ac:dyDescent="0.3">
      <c r="A14" s="211" t="s">
        <v>167</v>
      </c>
      <c r="B14" s="215">
        <v>0.7</v>
      </c>
      <c r="C14" s="215">
        <v>0.7</v>
      </c>
      <c r="D14" s="230">
        <f t="shared" si="4"/>
        <v>2.2727272727272728E-2</v>
      </c>
      <c r="E14" s="215">
        <v>0.3</v>
      </c>
      <c r="F14" s="215">
        <f t="shared" si="5"/>
        <v>-0.39999999999999997</v>
      </c>
      <c r="G14" s="235">
        <f>(N14*52*60)/(400*'Driftkalkyl - Smågrisar'!$B$5)</f>
        <v>0.5252525252525253</v>
      </c>
      <c r="H14" s="215"/>
      <c r="I14" s="215"/>
      <c r="J14" s="219">
        <f t="shared" si="0"/>
        <v>2.0641025641025639</v>
      </c>
      <c r="K14" s="219">
        <f t="shared" si="1"/>
        <v>0.88461538461538469</v>
      </c>
      <c r="L14" s="219">
        <f t="shared" si="2"/>
        <v>-1.1794871794871793</v>
      </c>
      <c r="M14" s="219">
        <f t="shared" si="3"/>
        <v>1.5488215488215489</v>
      </c>
      <c r="N14" s="219">
        <f t="shared" si="10"/>
        <v>2.0202020202020203</v>
      </c>
      <c r="R14" s="242" t="s">
        <v>167</v>
      </c>
      <c r="S14" s="251">
        <v>0.53397410225604058</v>
      </c>
      <c r="T14" s="252">
        <v>0.7</v>
      </c>
      <c r="U14" s="238"/>
      <c r="W14" s="211" t="s">
        <v>167</v>
      </c>
      <c r="X14" s="220">
        <f t="shared" si="6"/>
        <v>0.5252525252525253</v>
      </c>
      <c r="Y14" s="220">
        <f>(X14*'Driftkalkyl - Smågrisar'!$B$5)/60</f>
        <v>0.26262626262626265</v>
      </c>
      <c r="Z14" s="220">
        <f t="shared" si="7"/>
        <v>2.0505050505050506</v>
      </c>
      <c r="AA14" s="220">
        <f t="shared" si="8"/>
        <v>8.8855218855218858</v>
      </c>
      <c r="AB14" s="262">
        <f t="shared" si="9"/>
        <v>106.62626262626263</v>
      </c>
    </row>
    <row r="15" spans="1:28" ht="66" customHeight="1" x14ac:dyDescent="0.3">
      <c r="A15" s="211" t="s">
        <v>168</v>
      </c>
      <c r="B15" s="232">
        <v>2.1</v>
      </c>
      <c r="C15" s="232"/>
      <c r="D15" s="230">
        <f t="shared" si="4"/>
        <v>0</v>
      </c>
      <c r="E15" s="215">
        <v>0.9</v>
      </c>
      <c r="F15" s="215">
        <f t="shared" si="5"/>
        <v>-1.2000000000000002</v>
      </c>
      <c r="G15" s="235">
        <v>0.2</v>
      </c>
      <c r="H15" s="215"/>
      <c r="I15" s="215"/>
      <c r="J15" s="219">
        <f t="shared" si="0"/>
        <v>6.1923076923076925</v>
      </c>
      <c r="K15" s="219">
        <f t="shared" si="1"/>
        <v>2.6538461538461537</v>
      </c>
      <c r="L15" s="219">
        <f t="shared" si="2"/>
        <v>-3.5384615384615392</v>
      </c>
      <c r="M15" s="219">
        <f t="shared" si="3"/>
        <v>0.58974358974358976</v>
      </c>
      <c r="N15" s="219">
        <f t="shared" si="10"/>
        <v>0</v>
      </c>
      <c r="R15" s="242" t="s">
        <v>168</v>
      </c>
      <c r="S15" s="251">
        <v>0.2</v>
      </c>
      <c r="T15" s="252">
        <v>2.1</v>
      </c>
      <c r="U15" s="238" t="s">
        <v>190</v>
      </c>
      <c r="W15" s="211" t="s">
        <v>168</v>
      </c>
      <c r="X15" s="220">
        <f t="shared" si="6"/>
        <v>0.2</v>
      </c>
      <c r="Y15" s="220">
        <f>(X15*'Driftkalkyl - Smågrisar'!$B$5)/60</f>
        <v>0.1</v>
      </c>
      <c r="Z15" s="220">
        <f t="shared" si="7"/>
        <v>0.78076923076923077</v>
      </c>
      <c r="AA15" s="220">
        <f t="shared" si="8"/>
        <v>3.3833333333333333</v>
      </c>
      <c r="AB15" s="262">
        <f t="shared" si="9"/>
        <v>40.6</v>
      </c>
    </row>
    <row r="16" spans="1:28" ht="45" customHeight="1" x14ac:dyDescent="0.3">
      <c r="A16" s="211" t="s">
        <v>169</v>
      </c>
      <c r="B16" s="232">
        <v>0.3</v>
      </c>
      <c r="C16" s="232"/>
      <c r="D16" s="230">
        <f t="shared" si="4"/>
        <v>0</v>
      </c>
      <c r="E16" s="215"/>
      <c r="F16" s="215">
        <f t="shared" si="5"/>
        <v>-0.3</v>
      </c>
      <c r="G16" s="235">
        <v>0</v>
      </c>
      <c r="H16" s="215"/>
      <c r="I16" s="215"/>
      <c r="J16" s="219">
        <f t="shared" si="0"/>
        <v>0.88461538461538469</v>
      </c>
      <c r="K16" s="219">
        <f t="shared" si="1"/>
        <v>0</v>
      </c>
      <c r="L16" s="219">
        <f t="shared" si="2"/>
        <v>-0.88461538461538469</v>
      </c>
      <c r="M16" s="219">
        <f t="shared" si="3"/>
        <v>0</v>
      </c>
      <c r="N16" s="219">
        <f t="shared" si="10"/>
        <v>0</v>
      </c>
      <c r="R16" s="242" t="s">
        <v>169</v>
      </c>
      <c r="S16" s="251">
        <v>0</v>
      </c>
      <c r="T16" s="252">
        <v>0.3</v>
      </c>
      <c r="U16" s="238" t="s">
        <v>189</v>
      </c>
      <c r="W16" s="211" t="s">
        <v>169</v>
      </c>
      <c r="X16" s="220">
        <f t="shared" si="6"/>
        <v>0</v>
      </c>
      <c r="Y16" s="220">
        <f>(X16*'Driftkalkyl - Smågrisar'!$B$5)/60</f>
        <v>0</v>
      </c>
      <c r="Z16" s="220">
        <f t="shared" si="7"/>
        <v>0</v>
      </c>
      <c r="AA16" s="220">
        <f t="shared" si="8"/>
        <v>0</v>
      </c>
      <c r="AB16" s="262">
        <f t="shared" si="9"/>
        <v>0</v>
      </c>
    </row>
    <row r="17" spans="1:28" ht="15" thickBot="1" x14ac:dyDescent="0.35">
      <c r="A17" s="216" t="s">
        <v>170</v>
      </c>
      <c r="B17" s="233">
        <v>4.5999999999999996</v>
      </c>
      <c r="C17" s="233"/>
      <c r="D17" s="231">
        <f t="shared" si="4"/>
        <v>0</v>
      </c>
      <c r="E17" s="217">
        <v>4.4000000000000004</v>
      </c>
      <c r="F17" s="217">
        <f t="shared" si="5"/>
        <v>-0.19999999999999929</v>
      </c>
      <c r="G17" s="236">
        <v>2</v>
      </c>
      <c r="H17" s="229"/>
      <c r="I17" s="215"/>
      <c r="J17" s="234">
        <f t="shared" si="0"/>
        <v>13.564102564102564</v>
      </c>
      <c r="K17" s="234">
        <f t="shared" si="1"/>
        <v>12.974358974358974</v>
      </c>
      <c r="L17" s="234">
        <f t="shared" si="2"/>
        <v>-0.58974358974358765</v>
      </c>
      <c r="M17" s="234">
        <f>((G17*23*400)/52)/60</f>
        <v>5.8974358974358978</v>
      </c>
      <c r="N17" s="234">
        <f t="shared" si="10"/>
        <v>0</v>
      </c>
      <c r="R17" s="259" t="s">
        <v>170</v>
      </c>
      <c r="S17" s="253">
        <v>4.5999999999999996</v>
      </c>
      <c r="T17" s="254">
        <v>4.5999999999999996</v>
      </c>
      <c r="U17" s="239"/>
      <c r="W17" s="216" t="s">
        <v>170</v>
      </c>
      <c r="X17" s="263">
        <f t="shared" si="6"/>
        <v>2</v>
      </c>
      <c r="Y17" s="263">
        <f>(X17*'Driftkalkyl - Smågrisar'!$B$5)/60</f>
        <v>1</v>
      </c>
      <c r="Z17" s="263">
        <f t="shared" si="7"/>
        <v>7.8076923076923075</v>
      </c>
      <c r="AA17" s="263">
        <f t="shared" si="8"/>
        <v>33.833333333333336</v>
      </c>
      <c r="AB17" s="264">
        <f t="shared" si="9"/>
        <v>406</v>
      </c>
    </row>
    <row r="18" spans="1:28" ht="29.4" thickTop="1" x14ac:dyDescent="0.3">
      <c r="A18" s="218" t="s">
        <v>171</v>
      </c>
      <c r="B18" s="214">
        <f>SUM(B4:B17)</f>
        <v>41.3</v>
      </c>
      <c r="C18" s="214">
        <f>SUM(C4:C17)</f>
        <v>30.799999999999997</v>
      </c>
      <c r="D18" s="214"/>
      <c r="E18" s="214">
        <f t="shared" ref="E18:G18" si="11">SUM(E4:E17)</f>
        <v>35.6</v>
      </c>
      <c r="F18" s="214">
        <f t="shared" si="11"/>
        <v>-5.7000000000000011</v>
      </c>
      <c r="G18" s="220">
        <f t="shared" si="11"/>
        <v>28.039163059163055</v>
      </c>
      <c r="H18" s="214"/>
      <c r="J18" s="219">
        <f t="shared" si="0"/>
        <v>121.78205128205128</v>
      </c>
      <c r="K18" s="219">
        <f t="shared" si="1"/>
        <v>104.97435897435896</v>
      </c>
      <c r="L18" s="219">
        <f t="shared" si="2"/>
        <v>-16.80769230769231</v>
      </c>
      <c r="M18" s="219">
        <f t="shared" si="3"/>
        <v>82.679583379583377</v>
      </c>
      <c r="N18" s="219">
        <f>40*J28</f>
        <v>88.888888888888886</v>
      </c>
      <c r="R18" s="243" t="s">
        <v>171</v>
      </c>
      <c r="S18" s="255">
        <v>31.794860499265781</v>
      </c>
      <c r="T18" s="256">
        <v>41.3</v>
      </c>
      <c r="U18" s="240"/>
      <c r="W18" s="218" t="s">
        <v>193</v>
      </c>
      <c r="X18" s="220">
        <f>SUM(X4:X17)</f>
        <v>28.039163059163055</v>
      </c>
      <c r="Y18" s="220">
        <f t="shared" ref="Y18:AB18" si="12">SUM(Y4:Y17)</f>
        <v>14.019581529581528</v>
      </c>
      <c r="Z18" s="220">
        <f t="shared" si="12"/>
        <v>109.46057886557887</v>
      </c>
      <c r="AA18" s="220">
        <f t="shared" si="12"/>
        <v>474.32917508417506</v>
      </c>
      <c r="AB18" s="262">
        <f t="shared" si="12"/>
        <v>5691.9501010101012</v>
      </c>
    </row>
    <row r="19" spans="1:28" ht="28.5" customHeight="1" thickBot="1" x14ac:dyDescent="0.35">
      <c r="A19" s="218" t="s">
        <v>174</v>
      </c>
      <c r="B19" s="220">
        <f>(B18*23)/60</f>
        <v>15.831666666666667</v>
      </c>
      <c r="C19" s="220"/>
      <c r="D19" s="220"/>
      <c r="E19" s="220">
        <f t="shared" ref="E19:F19" si="13">(E18*23)/60</f>
        <v>13.646666666666668</v>
      </c>
      <c r="F19" s="220">
        <f t="shared" si="13"/>
        <v>-2.1850000000000005</v>
      </c>
      <c r="G19" s="220">
        <f>(G18*'Driftkalkyl - Smågrisar'!B5)/60</f>
        <v>14.019581529581528</v>
      </c>
      <c r="H19" s="220"/>
      <c r="I19" s="213" t="s">
        <v>180</v>
      </c>
      <c r="J19" s="219">
        <f>J18/40</f>
        <v>3.0445512820512821</v>
      </c>
      <c r="K19" s="219">
        <f t="shared" ref="K19:M19" si="14">K18/40</f>
        <v>2.6243589743589739</v>
      </c>
      <c r="L19" s="219">
        <f t="shared" si="14"/>
        <v>-0.42019230769230775</v>
      </c>
      <c r="M19" s="219">
        <f t="shared" si="14"/>
        <v>2.0669895844895843</v>
      </c>
      <c r="N19" s="219"/>
      <c r="R19" s="244" t="s">
        <v>174</v>
      </c>
      <c r="S19" s="257">
        <v>15.637772222222221</v>
      </c>
      <c r="T19" s="258">
        <v>15.831666666666667</v>
      </c>
      <c r="U19" s="241" t="s">
        <v>191</v>
      </c>
      <c r="AB19" s="221">
        <f>AB18/1850</f>
        <v>3.0767297843297845</v>
      </c>
    </row>
    <row r="20" spans="1:28" x14ac:dyDescent="0.3">
      <c r="B20" s="512" t="s">
        <v>172</v>
      </c>
      <c r="C20" s="512"/>
      <c r="D20" s="512"/>
      <c r="E20" s="512"/>
      <c r="F20" s="512"/>
      <c r="J20" s="219"/>
      <c r="K20" s="219"/>
      <c r="L20" s="219"/>
      <c r="M20" s="219"/>
      <c r="N20" s="219"/>
    </row>
    <row r="23" spans="1:28" x14ac:dyDescent="0.3">
      <c r="A23" s="210" t="s">
        <v>175</v>
      </c>
      <c r="C23">
        <v>14</v>
      </c>
      <c r="D23" t="s">
        <v>196</v>
      </c>
    </row>
    <row r="24" spans="1:28" x14ac:dyDescent="0.3">
      <c r="A24" t="s">
        <v>163</v>
      </c>
      <c r="B24" s="227">
        <v>0.41</v>
      </c>
      <c r="C24" s="265">
        <f>$C$23*B24</f>
        <v>5.7399999999999993</v>
      </c>
      <c r="D24" s="227"/>
    </row>
    <row r="25" spans="1:28" x14ac:dyDescent="0.3">
      <c r="A25" t="s">
        <v>176</v>
      </c>
      <c r="B25" s="227">
        <v>0.2</v>
      </c>
      <c r="C25" s="265">
        <f t="shared" ref="C25:C28" si="15">$C$23*B25</f>
        <v>2.8000000000000003</v>
      </c>
      <c r="D25" s="227"/>
    </row>
    <row r="26" spans="1:28" x14ac:dyDescent="0.3">
      <c r="A26" t="s">
        <v>177</v>
      </c>
      <c r="B26" s="227">
        <v>0.19</v>
      </c>
      <c r="C26" s="265">
        <f t="shared" si="15"/>
        <v>2.66</v>
      </c>
      <c r="D26" s="227"/>
      <c r="J26">
        <v>3</v>
      </c>
      <c r="K26">
        <v>560</v>
      </c>
      <c r="L26" t="s">
        <v>182</v>
      </c>
    </row>
    <row r="27" spans="1:28" x14ac:dyDescent="0.3">
      <c r="A27" t="s">
        <v>47</v>
      </c>
      <c r="B27" s="227">
        <v>0.05</v>
      </c>
      <c r="C27" s="265">
        <f t="shared" si="15"/>
        <v>0.70000000000000007</v>
      </c>
      <c r="D27" s="227"/>
      <c r="J27">
        <f>560/3</f>
        <v>186.66666666666666</v>
      </c>
      <c r="K27" t="s">
        <v>183</v>
      </c>
    </row>
    <row r="28" spans="1:28" x14ac:dyDescent="0.3">
      <c r="A28" t="s">
        <v>178</v>
      </c>
      <c r="B28" s="227">
        <v>0.15</v>
      </c>
      <c r="C28" s="265">
        <f t="shared" si="15"/>
        <v>2.1</v>
      </c>
      <c r="D28" s="227"/>
      <c r="J28">
        <f>400/180</f>
        <v>2.2222222222222223</v>
      </c>
      <c r="K28" t="s">
        <v>184</v>
      </c>
    </row>
  </sheetData>
  <sheetProtection algorithmName="SHA-512" hashValue="wfmnpdEcDy8dtOnB672ea9dhRyUJeSupsKS+cY5wqpSDUou26i3vr5vTxRBfUHyGb8hd8KZEu4sdToZj4DSyeQ==" saltValue="jjF7IWFrlww/mP7y/FzPMg==" spinCount="100000" sheet="1" selectLockedCells="1" selectUnlockedCells="1"/>
  <mergeCells count="2">
    <mergeCell ref="B2:E2"/>
    <mergeCell ref="B20:F20"/>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4" sqref="G4"/>
    </sheetView>
  </sheetViews>
  <sheetFormatPr defaultRowHeight="14.4" x14ac:dyDescent="0.3"/>
  <sheetData>
    <row r="1" spans="1:1" ht="18" x14ac:dyDescent="0.35">
      <c r="A1" s="208" t="s">
        <v>126</v>
      </c>
    </row>
    <row r="2" spans="1:1" x14ac:dyDescent="0.3">
      <c r="A2" t="s">
        <v>39</v>
      </c>
    </row>
    <row r="3" spans="1:1" x14ac:dyDescent="0.3">
      <c r="A3" t="s">
        <v>34</v>
      </c>
    </row>
    <row r="4" spans="1:1" x14ac:dyDescent="0.3">
      <c r="A4" t="s">
        <v>35</v>
      </c>
    </row>
    <row r="5" spans="1:1" x14ac:dyDescent="0.3">
      <c r="A5" t="s">
        <v>111</v>
      </c>
    </row>
    <row r="6" spans="1:1" x14ac:dyDescent="0.3">
      <c r="A6" t="s">
        <v>36</v>
      </c>
    </row>
    <row r="7" spans="1:1" x14ac:dyDescent="0.3">
      <c r="A7" t="s">
        <v>37</v>
      </c>
    </row>
    <row r="8" spans="1:1" x14ac:dyDescent="0.3">
      <c r="A8"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79"/>
  <sheetViews>
    <sheetView zoomScaleNormal="100" workbookViewId="0">
      <selection activeCell="E3" activeCellId="3" sqref="E3 E3 E3 E3"/>
    </sheetView>
  </sheetViews>
  <sheetFormatPr defaultColWidth="9.109375" defaultRowHeight="13.8" x14ac:dyDescent="0.25"/>
  <cols>
    <col min="1" max="1" width="38.44140625" style="3" customWidth="1"/>
    <col min="2" max="2" width="17.33203125" style="3" customWidth="1"/>
    <col min="3" max="3" width="12" style="3" customWidth="1"/>
    <col min="4" max="4" width="10.44140625" style="3" customWidth="1"/>
    <col min="5" max="5" width="14" style="3" bestFit="1" customWidth="1"/>
    <col min="6" max="6" width="16.33203125" style="3" bestFit="1" customWidth="1"/>
    <col min="7" max="16384" width="9.109375" style="3"/>
  </cols>
  <sheetData>
    <row r="1" spans="1:6" ht="27.6" x14ac:dyDescent="0.45">
      <c r="A1" s="2" t="s">
        <v>97</v>
      </c>
    </row>
    <row r="2" spans="1:6" ht="17.399999999999999" x14ac:dyDescent="0.3">
      <c r="A2" s="91" t="s">
        <v>208</v>
      </c>
    </row>
    <row r="3" spans="1:6" ht="14.4" thickBot="1" x14ac:dyDescent="0.3">
      <c r="A3" s="4"/>
    </row>
    <row r="4" spans="1:6" x14ac:dyDescent="0.25">
      <c r="A4" s="5" t="s">
        <v>30</v>
      </c>
      <c r="B4" s="6"/>
      <c r="C4" s="7"/>
      <c r="D4" s="8"/>
      <c r="F4" s="9"/>
    </row>
    <row r="5" spans="1:6" x14ac:dyDescent="0.25">
      <c r="A5" s="80" t="s">
        <v>32</v>
      </c>
      <c r="B5" s="81" t="s">
        <v>31</v>
      </c>
      <c r="C5" s="81"/>
      <c r="D5" s="82"/>
      <c r="F5" s="9"/>
    </row>
    <row r="6" spans="1:6" x14ac:dyDescent="0.25">
      <c r="A6" s="104" t="s">
        <v>127</v>
      </c>
      <c r="B6" s="105" t="s">
        <v>130</v>
      </c>
      <c r="C6" s="106"/>
      <c r="D6" s="107"/>
      <c r="E6" s="9"/>
      <c r="F6" s="11"/>
    </row>
    <row r="7" spans="1:6" x14ac:dyDescent="0.25">
      <c r="A7" s="104" t="s">
        <v>128</v>
      </c>
      <c r="B7" s="105" t="s">
        <v>129</v>
      </c>
      <c r="C7" s="106"/>
      <c r="D7" s="107"/>
      <c r="E7" s="9"/>
      <c r="F7" s="11"/>
    </row>
    <row r="8" spans="1:6" x14ac:dyDescent="0.25">
      <c r="A8" s="104" t="s">
        <v>131</v>
      </c>
      <c r="B8" s="105" t="s">
        <v>132</v>
      </c>
      <c r="C8" s="106"/>
      <c r="D8" s="107"/>
      <c r="E8" s="9"/>
      <c r="F8" s="11"/>
    </row>
    <row r="9" spans="1:6" x14ac:dyDescent="0.25">
      <c r="A9" s="104" t="s">
        <v>133</v>
      </c>
      <c r="B9" s="105" t="s">
        <v>134</v>
      </c>
      <c r="C9" s="106"/>
      <c r="D9" s="107"/>
      <c r="E9" s="9"/>
      <c r="F9" s="11"/>
    </row>
    <row r="10" spans="1:6" ht="14.4" thickBot="1" x14ac:dyDescent="0.3">
      <c r="A10" s="108" t="s">
        <v>135</v>
      </c>
      <c r="B10" s="109" t="s">
        <v>136</v>
      </c>
      <c r="C10" s="109"/>
      <c r="D10" s="110"/>
      <c r="E10" s="13"/>
      <c r="F10" s="13"/>
    </row>
    <row r="11" spans="1:6" x14ac:dyDescent="0.25">
      <c r="A11" s="4"/>
    </row>
    <row r="12" spans="1:6" ht="14.4" thickBot="1" x14ac:dyDescent="0.3">
      <c r="A12" s="55"/>
      <c r="B12" s="54"/>
      <c r="C12" s="55"/>
      <c r="D12" s="55"/>
    </row>
    <row r="13" spans="1:6" x14ac:dyDescent="0.25">
      <c r="A13" s="77" t="s">
        <v>103</v>
      </c>
      <c r="B13" s="78" t="s">
        <v>98</v>
      </c>
      <c r="C13" s="79" t="s">
        <v>27</v>
      </c>
      <c r="D13" s="56"/>
    </row>
    <row r="14" spans="1:6" x14ac:dyDescent="0.25">
      <c r="A14" s="60" t="s">
        <v>28</v>
      </c>
      <c r="B14" s="111">
        <v>406</v>
      </c>
      <c r="C14" s="189" t="s">
        <v>34</v>
      </c>
      <c r="D14" s="9" t="s">
        <v>121</v>
      </c>
    </row>
    <row r="15" spans="1:6" x14ac:dyDescent="0.25">
      <c r="A15" s="14" t="s">
        <v>99</v>
      </c>
      <c r="B15" s="112">
        <f>2254.51+1494.25</f>
        <v>3748.76</v>
      </c>
      <c r="C15" s="12" t="s">
        <v>1</v>
      </c>
    </row>
    <row r="16" spans="1:6" ht="28.5" customHeight="1" x14ac:dyDescent="0.25">
      <c r="A16" s="10" t="s">
        <v>100</v>
      </c>
      <c r="B16" s="112">
        <v>78.959999999999994</v>
      </c>
      <c r="C16" s="12" t="s">
        <v>1</v>
      </c>
      <c r="D16" s="9"/>
    </row>
    <row r="17" spans="1:6" x14ac:dyDescent="0.25">
      <c r="A17" s="15" t="s">
        <v>101</v>
      </c>
      <c r="B17" s="113">
        <v>66.8</v>
      </c>
      <c r="C17" s="16" t="s">
        <v>1</v>
      </c>
      <c r="D17" s="9"/>
    </row>
    <row r="18" spans="1:6" ht="14.4" thickBot="1" x14ac:dyDescent="0.3">
      <c r="A18" s="20" t="s">
        <v>0</v>
      </c>
      <c r="B18" s="103">
        <f>SUM(B15:B16)</f>
        <v>3827.7200000000003</v>
      </c>
      <c r="C18" s="67" t="s">
        <v>1</v>
      </c>
      <c r="D18" s="13"/>
      <c r="E18" s="13"/>
      <c r="F18" s="13"/>
    </row>
    <row r="19" spans="1:6" x14ac:dyDescent="0.25">
      <c r="A19" s="77" t="s">
        <v>97</v>
      </c>
      <c r="B19" s="78" t="s">
        <v>98</v>
      </c>
      <c r="C19" s="79" t="s">
        <v>27</v>
      </c>
      <c r="D19" s="56"/>
    </row>
    <row r="20" spans="1:6" ht="27.6" x14ac:dyDescent="0.25">
      <c r="A20" s="60" t="s">
        <v>114</v>
      </c>
      <c r="B20" s="206">
        <f>Investeringskalkyl!F70</f>
        <v>20836635.210000001</v>
      </c>
      <c r="C20" s="61" t="s">
        <v>41</v>
      </c>
      <c r="D20" s="56"/>
    </row>
    <row r="21" spans="1:6" x14ac:dyDescent="0.25">
      <c r="A21" s="60" t="s">
        <v>115</v>
      </c>
      <c r="B21" s="207">
        <f>IF(Investeringskalkyl!$C$14="suggor",'Driftkalkyl - Smågrisar'!$B$8)+IF(Investeringskalkyl!$C$14="slaktgrisar",#REF!)+IF(Investeringskalkyl!$C$14="tackor",#REF!)+IF(Investeringskalkyl!$C$14="dikor",#REF!)+IF(Investeringskalkyl!$C$14="slaktungnöt",#REF!)+IF(Investeringskalkyl!$C$14="mjölkkor",#REF!)</f>
        <v>459935.69497249165</v>
      </c>
      <c r="C21" s="61" t="s">
        <v>78</v>
      </c>
      <c r="D21" s="56"/>
      <c r="E21" s="89"/>
      <c r="F21" s="90"/>
    </row>
    <row r="22" spans="1:6" ht="27.6" x14ac:dyDescent="0.25">
      <c r="A22" s="60" t="s">
        <v>116</v>
      </c>
      <c r="B22" s="207">
        <f>$B$21+(IF(Investeringskalkyl!$C$14="suggor",'Driftkalkyl - Smågrisar'!$H$50)+IF(Investeringskalkyl!$C$14="slaktgrisar",#REF!)+IF(Investeringskalkyl!$C$14="tackor",#REF!)+IF(Investeringskalkyl!$C$14="dikor",#REF!)+IF(Investeringskalkyl!$C$14="slaktungnöt",#REF!)+IF(Investeringskalkyl!$C$14="mjölkkor",#REF!))</f>
        <v>2467384.7971832198</v>
      </c>
      <c r="C22" s="61" t="s">
        <v>78</v>
      </c>
      <c r="D22" s="56"/>
    </row>
    <row r="23" spans="1:6" ht="27.6" x14ac:dyDescent="0.25">
      <c r="A23" s="60" t="s">
        <v>81</v>
      </c>
      <c r="B23" s="190">
        <v>0.05</v>
      </c>
      <c r="C23" s="61"/>
      <c r="D23" s="56"/>
    </row>
    <row r="24" spans="1:6" x14ac:dyDescent="0.25">
      <c r="A24" s="60" t="s">
        <v>82</v>
      </c>
      <c r="B24" s="190">
        <v>0.01</v>
      </c>
      <c r="C24" s="61" t="s">
        <v>83</v>
      </c>
      <c r="D24" s="56"/>
    </row>
    <row r="25" spans="1:6" x14ac:dyDescent="0.25">
      <c r="A25" s="60" t="s">
        <v>84</v>
      </c>
      <c r="B25" s="92">
        <f>(1+$B$23)/(1+$B$24)-1</f>
        <v>3.9603960396039639E-2</v>
      </c>
      <c r="C25" s="61"/>
      <c r="D25" s="56"/>
    </row>
    <row r="26" spans="1:6" x14ac:dyDescent="0.25">
      <c r="A26" s="60" t="s">
        <v>76</v>
      </c>
      <c r="B26" s="65">
        <v>15</v>
      </c>
      <c r="C26" s="61" t="s">
        <v>77</v>
      </c>
      <c r="D26" s="56"/>
    </row>
    <row r="27" spans="1:6" ht="27.6" x14ac:dyDescent="0.25">
      <c r="A27" s="60" t="s">
        <v>123</v>
      </c>
      <c r="B27" s="101">
        <f>($B$22*((1-(1+$B$25)^(-$B$26))/$B$25))</f>
        <v>27509466.690906022</v>
      </c>
      <c r="C27" s="61" t="s">
        <v>78</v>
      </c>
      <c r="D27" s="56"/>
    </row>
    <row r="28" spans="1:6" ht="14.4" thickBot="1" x14ac:dyDescent="0.3">
      <c r="A28" s="68" t="s">
        <v>113</v>
      </c>
      <c r="B28" s="102">
        <f>-$B$20+($B$22*((1-(1+$B$25)^(-$B$26))/$B$25))</f>
        <v>6672831.4809060208</v>
      </c>
      <c r="C28" s="69" t="s">
        <v>41</v>
      </c>
      <c r="D28" s="56"/>
    </row>
    <row r="29" spans="1:6" x14ac:dyDescent="0.25">
      <c r="A29" s="66"/>
      <c r="B29" s="88"/>
      <c r="C29" s="63"/>
      <c r="D29" s="56"/>
    </row>
    <row r="30" spans="1:6" ht="14.4" thickBot="1" x14ac:dyDescent="0.3">
      <c r="A30" s="66"/>
      <c r="B30" s="66"/>
      <c r="C30" s="63"/>
      <c r="D30" s="56"/>
    </row>
    <row r="31" spans="1:6" ht="15" x14ac:dyDescent="0.25">
      <c r="A31" s="74" t="s">
        <v>102</v>
      </c>
      <c r="B31" s="75"/>
      <c r="C31" s="75"/>
      <c r="D31" s="75"/>
      <c r="E31" s="75"/>
      <c r="F31" s="76"/>
    </row>
    <row r="32" spans="1:6" s="17" customFormat="1" ht="15" x14ac:dyDescent="0.25">
      <c r="A32" s="70" t="s">
        <v>2</v>
      </c>
      <c r="B32" s="71" t="s">
        <v>6</v>
      </c>
      <c r="C32" s="72" t="s">
        <v>5</v>
      </c>
      <c r="D32" s="72" t="s">
        <v>27</v>
      </c>
      <c r="E32" s="72" t="s">
        <v>4</v>
      </c>
      <c r="F32" s="73" t="s">
        <v>3</v>
      </c>
    </row>
    <row r="33" spans="1:6" hidden="1" x14ac:dyDescent="0.25">
      <c r="A33" s="18" t="s">
        <v>7</v>
      </c>
      <c r="B33" s="114"/>
      <c r="C33" s="115"/>
      <c r="D33" s="115"/>
      <c r="E33" s="116"/>
      <c r="F33" s="84"/>
    </row>
    <row r="34" spans="1:6" ht="15" hidden="1" customHeight="1" x14ac:dyDescent="0.25">
      <c r="A34" s="14" t="s">
        <v>19</v>
      </c>
      <c r="B34" s="114">
        <v>1</v>
      </c>
      <c r="C34" s="115"/>
      <c r="D34" s="115" t="s">
        <v>1</v>
      </c>
      <c r="E34" s="435"/>
      <c r="F34" s="93">
        <f t="shared" ref="F34:F55" si="0">C34*E34</f>
        <v>0</v>
      </c>
    </row>
    <row r="35" spans="1:6" hidden="1" x14ac:dyDescent="0.25">
      <c r="A35" s="14" t="s">
        <v>20</v>
      </c>
      <c r="B35" s="114">
        <v>2</v>
      </c>
      <c r="C35" s="115"/>
      <c r="D35" s="115" t="s">
        <v>1</v>
      </c>
      <c r="E35" s="435"/>
      <c r="F35" s="93">
        <f t="shared" si="0"/>
        <v>0</v>
      </c>
    </row>
    <row r="36" spans="1:6" hidden="1" x14ac:dyDescent="0.25">
      <c r="A36" s="20" t="s">
        <v>23</v>
      </c>
      <c r="B36" s="117"/>
      <c r="C36" s="118"/>
      <c r="D36" s="118"/>
      <c r="E36" s="119"/>
      <c r="F36" s="94">
        <f>SUM(F34:F35)</f>
        <v>0</v>
      </c>
    </row>
    <row r="37" spans="1:6" x14ac:dyDescent="0.25">
      <c r="A37" s="24" t="s">
        <v>8</v>
      </c>
      <c r="B37" s="120"/>
      <c r="C37" s="121"/>
      <c r="D37" s="121"/>
      <c r="E37" s="122"/>
      <c r="F37" s="84"/>
    </row>
    <row r="38" spans="1:6" ht="41.4" x14ac:dyDescent="0.25">
      <c r="A38" s="461" t="s">
        <v>462</v>
      </c>
      <c r="B38" s="462">
        <v>3</v>
      </c>
      <c r="C38" s="463">
        <v>1</v>
      </c>
      <c r="D38" s="463"/>
      <c r="E38" s="464">
        <f>11125000-(4000*B17)+1500000</f>
        <v>12357800</v>
      </c>
      <c r="F38" s="460">
        <f t="shared" si="0"/>
        <v>12357800</v>
      </c>
    </row>
    <row r="39" spans="1:6" hidden="1" x14ac:dyDescent="0.25">
      <c r="A39" s="14" t="s">
        <v>429</v>
      </c>
      <c r="B39" s="114">
        <v>4</v>
      </c>
      <c r="C39" s="115"/>
      <c r="D39" s="115"/>
      <c r="E39" s="435"/>
      <c r="F39" s="93">
        <f t="shared" si="0"/>
        <v>0</v>
      </c>
    </row>
    <row r="40" spans="1:6" ht="13.5" customHeight="1" x14ac:dyDescent="0.25">
      <c r="A40" s="14" t="s">
        <v>9</v>
      </c>
      <c r="B40" s="114">
        <v>5</v>
      </c>
      <c r="C40" s="115">
        <v>1</v>
      </c>
      <c r="D40" s="115"/>
      <c r="E40" s="435">
        <v>120000</v>
      </c>
      <c r="F40" s="93">
        <f t="shared" si="0"/>
        <v>120000</v>
      </c>
    </row>
    <row r="41" spans="1:6" hidden="1" x14ac:dyDescent="0.25">
      <c r="A41" s="14" t="s">
        <v>430</v>
      </c>
      <c r="B41" s="114">
        <v>6</v>
      </c>
      <c r="C41" s="115"/>
      <c r="D41" s="115"/>
      <c r="E41" s="116"/>
      <c r="F41" s="93">
        <f t="shared" si="0"/>
        <v>0</v>
      </c>
    </row>
    <row r="42" spans="1:6" x14ac:dyDescent="0.25">
      <c r="A42" s="20" t="s">
        <v>23</v>
      </c>
      <c r="B42" s="117"/>
      <c r="C42" s="118"/>
      <c r="D42" s="118"/>
      <c r="E42" s="119"/>
      <c r="F42" s="94">
        <f>SUM(F38:F41)</f>
        <v>12477800</v>
      </c>
    </row>
    <row r="43" spans="1:6" x14ac:dyDescent="0.25">
      <c r="A43" s="24" t="s">
        <v>10</v>
      </c>
      <c r="B43" s="120"/>
      <c r="C43" s="121"/>
      <c r="D43" s="121"/>
      <c r="E43" s="122"/>
      <c r="F43" s="84"/>
    </row>
    <row r="44" spans="1:6" ht="26.25" customHeight="1" x14ac:dyDescent="0.25">
      <c r="A44" s="461" t="s">
        <v>461</v>
      </c>
      <c r="B44" s="462">
        <v>7</v>
      </c>
      <c r="C44" s="463">
        <v>1</v>
      </c>
      <c r="D44" s="463"/>
      <c r="E44" s="459">
        <f>800000+500000</f>
        <v>1300000</v>
      </c>
      <c r="F44" s="460">
        <f t="shared" si="0"/>
        <v>1300000</v>
      </c>
    </row>
    <row r="45" spans="1:6" hidden="1" x14ac:dyDescent="0.25">
      <c r="A45" s="14" t="s">
        <v>11</v>
      </c>
      <c r="B45" s="114">
        <v>8</v>
      </c>
      <c r="C45" s="115">
        <v>1</v>
      </c>
      <c r="D45" s="115"/>
      <c r="E45" s="459"/>
      <c r="F45" s="93">
        <f t="shared" si="0"/>
        <v>0</v>
      </c>
    </row>
    <row r="46" spans="1:6" x14ac:dyDescent="0.25">
      <c r="A46" s="14" t="s">
        <v>12</v>
      </c>
      <c r="B46" s="114">
        <v>9</v>
      </c>
      <c r="C46" s="115">
        <v>1</v>
      </c>
      <c r="D46" s="115"/>
      <c r="E46" s="116">
        <v>1200000</v>
      </c>
      <c r="F46" s="93">
        <f t="shared" si="0"/>
        <v>1200000</v>
      </c>
    </row>
    <row r="47" spans="1:6" x14ac:dyDescent="0.25">
      <c r="A47" s="14" t="s">
        <v>443</v>
      </c>
      <c r="B47" s="114">
        <v>10</v>
      </c>
      <c r="C47" s="115">
        <v>1</v>
      </c>
      <c r="D47" s="115" t="s">
        <v>43</v>
      </c>
      <c r="E47" s="435">
        <f>Offerter!N15+Offerter!O21</f>
        <v>821660</v>
      </c>
      <c r="F47" s="93">
        <f t="shared" si="0"/>
        <v>821660</v>
      </c>
    </row>
    <row r="48" spans="1:6" x14ac:dyDescent="0.25">
      <c r="A48" s="14" t="s">
        <v>390</v>
      </c>
      <c r="B48" s="114">
        <v>11</v>
      </c>
      <c r="C48" s="115">
        <v>1</v>
      </c>
      <c r="D48" s="115" t="s">
        <v>43</v>
      </c>
      <c r="E48" s="116">
        <v>32000</v>
      </c>
      <c r="F48" s="93">
        <f t="shared" si="0"/>
        <v>32000</v>
      </c>
    </row>
    <row r="49" spans="1:6" x14ac:dyDescent="0.25">
      <c r="A49" s="20" t="s">
        <v>24</v>
      </c>
      <c r="B49" s="117"/>
      <c r="C49" s="118"/>
      <c r="D49" s="118"/>
      <c r="E49" s="119"/>
      <c r="F49" s="94">
        <f>SUM(F44:F48)</f>
        <v>3353660</v>
      </c>
    </row>
    <row r="50" spans="1:6" x14ac:dyDescent="0.25">
      <c r="A50" s="24" t="s">
        <v>22</v>
      </c>
      <c r="B50" s="120"/>
      <c r="C50" s="121"/>
      <c r="D50" s="121"/>
      <c r="E50" s="122"/>
      <c r="F50" s="84"/>
    </row>
    <row r="51" spans="1:6" x14ac:dyDescent="0.25">
      <c r="A51" s="469" t="s">
        <v>451</v>
      </c>
      <c r="B51" s="114">
        <v>12</v>
      </c>
      <c r="C51" s="115">
        <v>1</v>
      </c>
      <c r="D51" s="115" t="s">
        <v>43</v>
      </c>
      <c r="E51" s="116">
        <f>Offerter!N10</f>
        <v>4825885.96</v>
      </c>
      <c r="F51" s="93">
        <f t="shared" si="0"/>
        <v>4825885.96</v>
      </c>
    </row>
    <row r="52" spans="1:6" x14ac:dyDescent="0.25">
      <c r="A52" s="469"/>
      <c r="B52" s="114"/>
      <c r="C52" s="115"/>
      <c r="D52" s="115"/>
      <c r="E52" s="116"/>
      <c r="F52" s="93"/>
    </row>
    <row r="53" spans="1:6" x14ac:dyDescent="0.25">
      <c r="A53" s="469"/>
      <c r="B53" s="114"/>
      <c r="C53" s="115"/>
      <c r="D53" s="115"/>
      <c r="E53" s="116"/>
      <c r="F53" s="93"/>
    </row>
    <row r="54" spans="1:6" x14ac:dyDescent="0.25">
      <c r="A54" s="469"/>
      <c r="B54" s="114"/>
      <c r="C54" s="115"/>
      <c r="D54" s="338"/>
      <c r="E54" s="116"/>
      <c r="F54" s="93"/>
    </row>
    <row r="55" spans="1:6" x14ac:dyDescent="0.25">
      <c r="A55" s="14" t="s">
        <v>21</v>
      </c>
      <c r="B55" s="114">
        <v>13</v>
      </c>
      <c r="C55" s="450">
        <v>1</v>
      </c>
      <c r="D55" s="115"/>
      <c r="E55" s="435">
        <f>Offerter!N11</f>
        <v>637280</v>
      </c>
      <c r="F55" s="93">
        <f t="shared" si="0"/>
        <v>637280</v>
      </c>
    </row>
    <row r="56" spans="1:6" x14ac:dyDescent="0.25">
      <c r="A56" s="20" t="s">
        <v>25</v>
      </c>
      <c r="B56" s="117"/>
      <c r="C56" s="118"/>
      <c r="D56" s="118"/>
      <c r="E56" s="119"/>
      <c r="F56" s="94">
        <f>SUM(F51:F55)</f>
        <v>5463165.96</v>
      </c>
    </row>
    <row r="57" spans="1:6" x14ac:dyDescent="0.25">
      <c r="A57" s="24" t="s">
        <v>14</v>
      </c>
      <c r="B57" s="120"/>
      <c r="C57" s="121"/>
      <c r="D57" s="121"/>
      <c r="E57" s="122"/>
      <c r="F57" s="85"/>
    </row>
    <row r="58" spans="1:6" x14ac:dyDescent="0.25">
      <c r="A58" s="14" t="s">
        <v>15</v>
      </c>
      <c r="B58" s="114">
        <v>14</v>
      </c>
      <c r="C58" s="115">
        <v>1</v>
      </c>
      <c r="D58" s="115" t="s">
        <v>43</v>
      </c>
      <c r="E58" s="116">
        <f>539600+Offerter!N23</f>
        <v>584156</v>
      </c>
      <c r="F58" s="93">
        <f t="shared" ref="F58:F62" si="1">C58*E58</f>
        <v>584156</v>
      </c>
    </row>
    <row r="59" spans="1:6" x14ac:dyDescent="0.25">
      <c r="A59" s="14" t="s">
        <v>16</v>
      </c>
      <c r="B59" s="114">
        <v>15</v>
      </c>
      <c r="C59" s="115">
        <v>1</v>
      </c>
      <c r="D59" s="115" t="s">
        <v>43</v>
      </c>
      <c r="E59" s="435">
        <f>55500+14900+1200</f>
        <v>71600</v>
      </c>
      <c r="F59" s="93">
        <f t="shared" si="1"/>
        <v>71600</v>
      </c>
    </row>
    <row r="60" spans="1:6" hidden="1" x14ac:dyDescent="0.25">
      <c r="A60" s="14" t="s">
        <v>431</v>
      </c>
      <c r="B60" s="114">
        <v>16</v>
      </c>
      <c r="C60" s="115"/>
      <c r="D60" s="115"/>
      <c r="E60" s="116"/>
      <c r="F60" s="93">
        <f t="shared" si="1"/>
        <v>0</v>
      </c>
    </row>
    <row r="61" spans="1:6" hidden="1" x14ac:dyDescent="0.25">
      <c r="A61" s="14" t="s">
        <v>432</v>
      </c>
      <c r="B61" s="114">
        <v>17</v>
      </c>
      <c r="C61" s="115"/>
      <c r="D61" s="115"/>
      <c r="E61" s="116"/>
      <c r="F61" s="93">
        <f t="shared" si="1"/>
        <v>0</v>
      </c>
    </row>
    <row r="62" spans="1:6" hidden="1" x14ac:dyDescent="0.25">
      <c r="A62" s="14" t="s">
        <v>17</v>
      </c>
      <c r="B62" s="114">
        <v>18</v>
      </c>
      <c r="C62" s="115"/>
      <c r="D62" s="115"/>
      <c r="E62" s="116"/>
      <c r="F62" s="93">
        <f t="shared" si="1"/>
        <v>0</v>
      </c>
    </row>
    <row r="63" spans="1:6" x14ac:dyDescent="0.25">
      <c r="A63" s="20" t="s">
        <v>26</v>
      </c>
      <c r="B63" s="117"/>
      <c r="C63" s="118"/>
      <c r="D63" s="118"/>
      <c r="E63" s="119"/>
      <c r="F63" s="94">
        <f>SUM(F58:F62)</f>
        <v>655756</v>
      </c>
    </row>
    <row r="64" spans="1:6" x14ac:dyDescent="0.25">
      <c r="A64" s="24" t="s">
        <v>85</v>
      </c>
      <c r="B64" s="120"/>
      <c r="C64" s="121"/>
      <c r="D64" s="121"/>
      <c r="E64" s="122"/>
      <c r="F64" s="85"/>
    </row>
    <row r="65" spans="1:6" x14ac:dyDescent="0.25">
      <c r="A65" s="14" t="s">
        <v>18</v>
      </c>
      <c r="B65" s="114">
        <v>19</v>
      </c>
      <c r="C65" s="115">
        <v>100</v>
      </c>
      <c r="D65" s="115" t="s">
        <v>408</v>
      </c>
      <c r="E65" s="435">
        <v>220</v>
      </c>
      <c r="F65" s="93">
        <f t="shared" ref="F65" si="2">C65*E65</f>
        <v>22000</v>
      </c>
    </row>
    <row r="66" spans="1:6" x14ac:dyDescent="0.25">
      <c r="A66" s="14" t="s">
        <v>87</v>
      </c>
      <c r="B66" s="114"/>
      <c r="C66" s="100">
        <f>$B$23</f>
        <v>0.05</v>
      </c>
      <c r="D66" s="115"/>
      <c r="E66" s="465">
        <f>(E46+E58+E44)/12*5</f>
        <v>1285065</v>
      </c>
      <c r="F66" s="93">
        <f>C66*E66</f>
        <v>64253.25</v>
      </c>
    </row>
    <row r="67" spans="1:6" x14ac:dyDescent="0.25">
      <c r="A67" s="20" t="s">
        <v>86</v>
      </c>
      <c r="B67" s="21"/>
      <c r="C67" s="22"/>
      <c r="D67" s="22"/>
      <c r="E67" s="23"/>
      <c r="F67" s="94">
        <f>SUM(F65:F66)</f>
        <v>86253.25</v>
      </c>
    </row>
    <row r="68" spans="1:6" x14ac:dyDescent="0.25">
      <c r="A68" s="26" t="s">
        <v>124</v>
      </c>
      <c r="B68" s="25"/>
      <c r="C68" s="27"/>
      <c r="D68" s="27"/>
      <c r="E68" s="28"/>
      <c r="F68" s="95">
        <f>$F$36+$F$42+$F$49+$F$56+$F$63+$F$67</f>
        <v>22036635.210000001</v>
      </c>
    </row>
    <row r="69" spans="1:6" s="47" customFormat="1" x14ac:dyDescent="0.25">
      <c r="A69" s="43" t="s">
        <v>70</v>
      </c>
      <c r="B69" s="44"/>
      <c r="C69" s="45"/>
      <c r="D69" s="45"/>
      <c r="E69" s="46"/>
      <c r="F69" s="96">
        <f>IF(($F$68*0.4)&lt;1200000,-$F$68*0.4,-1200000)</f>
        <v>-1200000</v>
      </c>
    </row>
    <row r="70" spans="1:6" s="9" customFormat="1" x14ac:dyDescent="0.25">
      <c r="A70" s="57" t="s">
        <v>79</v>
      </c>
      <c r="B70" s="21"/>
      <c r="C70" s="58"/>
      <c r="D70" s="58"/>
      <c r="E70" s="59"/>
      <c r="F70" s="97">
        <f>$F$68+$F$69</f>
        <v>20836635.210000001</v>
      </c>
    </row>
    <row r="71" spans="1:6" s="9" customFormat="1" x14ac:dyDescent="0.25">
      <c r="A71" s="29" t="s">
        <v>71</v>
      </c>
      <c r="B71" s="19"/>
      <c r="C71" s="30"/>
      <c r="D71" s="30"/>
      <c r="E71" s="31"/>
      <c r="F71" s="98">
        <f>$F$68/$B$14</f>
        <v>54277.426625615764</v>
      </c>
    </row>
    <row r="72" spans="1:6" x14ac:dyDescent="0.25">
      <c r="A72" s="29" t="s">
        <v>80</v>
      </c>
      <c r="B72" s="19"/>
      <c r="C72" s="30"/>
      <c r="D72" s="30"/>
      <c r="E72" s="31"/>
      <c r="F72" s="98">
        <f>($F$68+$F$69)/$B$14</f>
        <v>51321.761600985221</v>
      </c>
    </row>
    <row r="73" spans="1:6" x14ac:dyDescent="0.25">
      <c r="A73" s="32" t="s">
        <v>29</v>
      </c>
      <c r="B73" s="191"/>
      <c r="C73" s="192"/>
      <c r="D73" s="192"/>
      <c r="E73" s="193"/>
      <c r="F73" s="194">
        <f>(B17*4000)-E40</f>
        <v>147200</v>
      </c>
    </row>
    <row r="74" spans="1:6" ht="14.4" thickBot="1" x14ac:dyDescent="0.3">
      <c r="A74" s="33" t="s">
        <v>125</v>
      </c>
      <c r="B74" s="34"/>
      <c r="C74" s="35"/>
      <c r="D74" s="35"/>
      <c r="E74" s="35"/>
      <c r="F74" s="99">
        <f>$F$68+$F$73</f>
        <v>22183835.210000001</v>
      </c>
    </row>
    <row r="77" spans="1:6" x14ac:dyDescent="0.25">
      <c r="F77" s="431"/>
    </row>
    <row r="78" spans="1:6" x14ac:dyDescent="0.25">
      <c r="E78" s="431"/>
      <c r="F78" s="431"/>
    </row>
    <row r="79" spans="1:6" x14ac:dyDescent="0.25">
      <c r="A79" s="60"/>
      <c r="B79" s="62"/>
      <c r="C79" s="62"/>
      <c r="D79" s="56"/>
      <c r="E79" s="431"/>
    </row>
  </sheetData>
  <mergeCells count="1">
    <mergeCell ref="A51:A54"/>
  </mergeCells>
  <dataValidations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BA74"/>
  <sheetViews>
    <sheetView tabSelected="1" zoomScaleNormal="100" workbookViewId="0">
      <selection activeCell="E3" sqref="E3"/>
    </sheetView>
  </sheetViews>
  <sheetFormatPr defaultColWidth="9.109375" defaultRowHeight="13.8" x14ac:dyDescent="0.25"/>
  <cols>
    <col min="1" max="1" width="30.6640625" style="144" customWidth="1"/>
    <col min="2" max="2" width="14.109375" style="144" customWidth="1"/>
    <col min="3" max="3" width="13.109375" style="144" bestFit="1" customWidth="1"/>
    <col min="4" max="4" width="9.109375" style="144" customWidth="1"/>
    <col min="5" max="5" width="15.33203125" style="144" customWidth="1"/>
    <col min="6" max="6" width="14.44140625" style="144" bestFit="1" customWidth="1"/>
    <col min="7" max="7" width="14.88671875" style="144" customWidth="1"/>
    <col min="8" max="8" width="15.6640625" style="144" bestFit="1" customWidth="1"/>
    <col min="9" max="9" width="9.109375" style="144"/>
    <col min="10" max="10" width="9.5546875" style="144" bestFit="1" customWidth="1"/>
    <col min="11" max="16384" width="9.109375" style="144"/>
  </cols>
  <sheetData>
    <row r="1" spans="1:38" ht="27.6" x14ac:dyDescent="0.45">
      <c r="A1" s="152" t="s">
        <v>75</v>
      </c>
    </row>
    <row r="2" spans="1:38" ht="14.4" thickBot="1" x14ac:dyDescent="0.3"/>
    <row r="3" spans="1:38" x14ac:dyDescent="0.25">
      <c r="A3" s="153" t="s">
        <v>62</v>
      </c>
      <c r="B3" s="154"/>
      <c r="C3" s="155"/>
    </row>
    <row r="4" spans="1:38" x14ac:dyDescent="0.25">
      <c r="A4" s="129" t="s">
        <v>28</v>
      </c>
      <c r="B4" s="156">
        <v>406</v>
      </c>
      <c r="C4" s="157" t="s">
        <v>34</v>
      </c>
      <c r="D4" s="158"/>
    </row>
    <row r="5" spans="1:38" ht="14.4" thickBot="1" x14ac:dyDescent="0.3">
      <c r="A5" s="130" t="s">
        <v>60</v>
      </c>
      <c r="B5" s="200">
        <v>30</v>
      </c>
      <c r="C5" s="159" t="s">
        <v>61</v>
      </c>
      <c r="D5" s="158"/>
    </row>
    <row r="6" spans="1:38" ht="14.4" thickBot="1" x14ac:dyDescent="0.3">
      <c r="A6" s="195"/>
    </row>
    <row r="7" spans="1:38" x14ac:dyDescent="0.25">
      <c r="A7" s="139" t="s">
        <v>67</v>
      </c>
      <c r="B7" s="140"/>
    </row>
    <row r="8" spans="1:38" ht="14.4" thickBot="1" x14ac:dyDescent="0.3">
      <c r="A8" s="128" t="s">
        <v>117</v>
      </c>
      <c r="B8" s="87">
        <f>$B$4*$B$14</f>
        <v>459935.69497249165</v>
      </c>
    </row>
    <row r="9" spans="1:38" x14ac:dyDescent="0.25">
      <c r="A9" s="129" t="s">
        <v>118</v>
      </c>
      <c r="B9" s="205">
        <f>$B$8/$H$26</f>
        <v>5.2434692538612521E-2</v>
      </c>
    </row>
    <row r="10" spans="1:38" ht="14.4" thickBot="1" x14ac:dyDescent="0.3">
      <c r="A10" s="130" t="s">
        <v>120</v>
      </c>
      <c r="B10" s="131">
        <f>$H$53+$H$54</f>
        <v>1173340</v>
      </c>
    </row>
    <row r="11" spans="1:38" x14ac:dyDescent="0.25">
      <c r="A11" s="139" t="s">
        <v>96</v>
      </c>
      <c r="B11" s="196"/>
    </row>
    <row r="12" spans="1:38" ht="18.75" customHeight="1" x14ac:dyDescent="0.25">
      <c r="A12" s="132" t="s">
        <v>93</v>
      </c>
      <c r="B12" s="86">
        <f>$F$26-$F$44</f>
        <v>9657.9874580708401</v>
      </c>
    </row>
    <row r="13" spans="1:38" x14ac:dyDescent="0.25">
      <c r="A13" s="132" t="s">
        <v>94</v>
      </c>
      <c r="B13" s="86">
        <f>$F$26-$F$44-$F$49</f>
        <v>9079.5093526680284</v>
      </c>
    </row>
    <row r="14" spans="1:38" ht="14.4" thickBot="1" x14ac:dyDescent="0.3">
      <c r="A14" s="128" t="s">
        <v>95</v>
      </c>
      <c r="B14" s="87">
        <f>$F$26-$F$44-$F49-$F$56</f>
        <v>1132.8465393411125</v>
      </c>
    </row>
    <row r="15" spans="1:38" s="146" customFormat="1" ht="12.15" customHeight="1" x14ac:dyDescent="0.25">
      <c r="A15" s="126"/>
      <c r="B15" s="124"/>
      <c r="C15" s="141"/>
      <c r="D15" s="141"/>
      <c r="E15" s="142"/>
      <c r="F15" s="142"/>
      <c r="G15" s="144"/>
      <c r="H15" s="143"/>
      <c r="I15" s="144"/>
      <c r="J15" s="144"/>
      <c r="K15" s="144"/>
      <c r="L15" s="145"/>
      <c r="N15" s="143"/>
      <c r="O15" s="143"/>
      <c r="P15" s="143"/>
      <c r="Q15" s="143"/>
      <c r="R15" s="143"/>
      <c r="S15" s="143"/>
      <c r="T15" s="143"/>
      <c r="U15" s="143"/>
      <c r="V15" s="143"/>
      <c r="W15" s="143"/>
      <c r="Z15" s="147"/>
      <c r="AA15" s="147"/>
      <c r="AB15" s="147"/>
      <c r="AC15" s="147"/>
      <c r="AD15" s="148"/>
      <c r="AE15" s="148"/>
      <c r="AF15" s="148"/>
      <c r="AG15" s="148"/>
      <c r="AH15" s="148"/>
      <c r="AI15" s="148"/>
      <c r="AJ15" s="148"/>
      <c r="AK15" s="148"/>
      <c r="AL15" s="148"/>
    </row>
    <row r="16" spans="1:38" s="146" customFormat="1" ht="12.15" customHeight="1" x14ac:dyDescent="0.25">
      <c r="A16" s="149"/>
      <c r="B16" s="150"/>
      <c r="C16" s="151"/>
      <c r="D16" s="151"/>
      <c r="E16" s="151"/>
      <c r="F16" s="151"/>
      <c r="G16" s="144"/>
      <c r="H16" s="143"/>
      <c r="I16" s="144"/>
      <c r="J16" s="144"/>
      <c r="K16" s="144"/>
      <c r="L16" s="145"/>
      <c r="N16" s="143"/>
      <c r="O16" s="143"/>
      <c r="P16" s="143"/>
      <c r="Q16" s="143"/>
      <c r="R16" s="143"/>
      <c r="S16" s="143"/>
      <c r="T16" s="143"/>
      <c r="U16" s="143"/>
      <c r="V16" s="143"/>
      <c r="W16" s="143"/>
      <c r="Z16" s="147"/>
      <c r="AA16" s="147"/>
      <c r="AB16" s="147"/>
      <c r="AC16" s="147"/>
      <c r="AD16" s="148"/>
      <c r="AE16" s="148"/>
      <c r="AF16" s="148"/>
      <c r="AG16" s="148"/>
      <c r="AH16" s="148"/>
      <c r="AI16" s="148"/>
      <c r="AJ16" s="148"/>
      <c r="AK16" s="148"/>
      <c r="AL16" s="148"/>
    </row>
    <row r="17" spans="1:53" s="146" customFormat="1" ht="27.6" x14ac:dyDescent="0.25">
      <c r="A17" s="160" t="s">
        <v>104</v>
      </c>
      <c r="B17" s="161" t="s">
        <v>6</v>
      </c>
      <c r="C17" s="162" t="s">
        <v>107</v>
      </c>
      <c r="D17" s="162" t="s">
        <v>27</v>
      </c>
      <c r="E17" s="162" t="s">
        <v>64</v>
      </c>
      <c r="F17" s="162" t="s">
        <v>90</v>
      </c>
      <c r="G17" s="163" t="s">
        <v>91</v>
      </c>
      <c r="H17" s="163" t="s">
        <v>89</v>
      </c>
      <c r="I17" s="203"/>
      <c r="J17" s="144"/>
      <c r="K17" s="144"/>
      <c r="L17" s="145"/>
      <c r="N17" s="143"/>
      <c r="O17" s="143"/>
      <c r="P17" s="143"/>
      <c r="Q17" s="143"/>
      <c r="R17" s="143"/>
      <c r="S17" s="143"/>
      <c r="T17" s="143"/>
      <c r="U17" s="143"/>
      <c r="V17" s="143"/>
      <c r="W17" s="143"/>
      <c r="Z17" s="147"/>
      <c r="AA17" s="147"/>
      <c r="AB17" s="147"/>
      <c r="AC17" s="147"/>
      <c r="AD17" s="148"/>
      <c r="AE17" s="148"/>
      <c r="AF17" s="148"/>
      <c r="AG17" s="148"/>
      <c r="AH17" s="148"/>
      <c r="AI17" s="148"/>
      <c r="AJ17" s="148"/>
      <c r="AK17" s="148"/>
      <c r="AL17" s="148"/>
    </row>
    <row r="18" spans="1:53" s="146" customFormat="1" x14ac:dyDescent="0.25">
      <c r="A18" s="64" t="s">
        <v>42</v>
      </c>
      <c r="B18" s="42">
        <v>1</v>
      </c>
      <c r="C18" s="202">
        <f>B5</f>
        <v>30</v>
      </c>
      <c r="D18" s="124" t="s">
        <v>43</v>
      </c>
      <c r="E18" s="52">
        <v>640</v>
      </c>
      <c r="F18" s="133">
        <f t="shared" ref="F18:F24" si="0">C18*E18</f>
        <v>19200</v>
      </c>
      <c r="G18" s="138">
        <f>F18/$B$5</f>
        <v>640</v>
      </c>
      <c r="H18" s="133">
        <f>F18*$B$4</f>
        <v>7795200</v>
      </c>
      <c r="I18" s="203"/>
      <c r="J18" s="144"/>
      <c r="K18" s="144"/>
      <c r="L18" s="145"/>
      <c r="N18" s="143"/>
      <c r="O18" s="164"/>
      <c r="P18" s="143"/>
      <c r="Q18" s="143"/>
      <c r="R18" s="143"/>
      <c r="S18" s="143"/>
      <c r="T18" s="143"/>
      <c r="U18" s="143"/>
      <c r="V18" s="143"/>
      <c r="W18" s="143"/>
      <c r="Z18" s="147"/>
      <c r="AA18" s="147"/>
      <c r="AB18" s="147"/>
      <c r="AC18" s="147"/>
      <c r="AD18" s="148"/>
      <c r="AE18" s="148"/>
      <c r="AF18" s="148"/>
      <c r="AG18" s="148"/>
      <c r="AH18" s="148"/>
      <c r="AI18" s="148"/>
      <c r="AJ18" s="148"/>
      <c r="AK18" s="148"/>
      <c r="AL18" s="148"/>
    </row>
    <row r="19" spans="1:53" s="146" customFormat="1" x14ac:dyDescent="0.25">
      <c r="A19" s="64" t="s">
        <v>66</v>
      </c>
      <c r="B19" s="42">
        <v>2</v>
      </c>
      <c r="C19" s="39">
        <v>0.47</v>
      </c>
      <c r="D19" s="201" t="s">
        <v>43</v>
      </c>
      <c r="E19" s="52">
        <f>8*180</f>
        <v>1440</v>
      </c>
      <c r="F19" s="133">
        <f t="shared" si="0"/>
        <v>676.8</v>
      </c>
      <c r="G19" s="138">
        <f>F19/$B$5</f>
        <v>22.56</v>
      </c>
      <c r="H19" s="133">
        <f t="shared" ref="H19:H24" si="1">F19*$B$4</f>
        <v>274780.79999999999</v>
      </c>
      <c r="I19" s="203"/>
      <c r="J19" s="144"/>
      <c r="K19" s="144"/>
      <c r="L19" s="145"/>
      <c r="N19" s="143"/>
      <c r="O19" s="164"/>
      <c r="P19" s="143"/>
      <c r="Q19" s="143"/>
      <c r="R19" s="143"/>
      <c r="S19" s="143"/>
      <c r="T19" s="143"/>
      <c r="U19" s="143"/>
      <c r="V19" s="143"/>
      <c r="W19" s="184"/>
      <c r="Z19" s="147"/>
      <c r="AA19" s="147"/>
      <c r="AB19" s="147"/>
      <c r="AC19" s="147"/>
      <c r="AD19" s="148"/>
      <c r="AE19" s="148"/>
      <c r="AF19" s="148"/>
      <c r="AG19" s="148"/>
      <c r="AH19" s="148"/>
      <c r="AI19" s="148"/>
      <c r="AJ19" s="148"/>
      <c r="AK19" s="148"/>
      <c r="AL19" s="148"/>
    </row>
    <row r="20" spans="1:53" s="146" customFormat="1" x14ac:dyDescent="0.25">
      <c r="A20" s="64" t="s">
        <v>44</v>
      </c>
      <c r="B20" s="42">
        <v>3</v>
      </c>
      <c r="C20" s="39">
        <v>0.03</v>
      </c>
      <c r="D20" s="41" t="s">
        <v>43</v>
      </c>
      <c r="E20" s="52">
        <v>669</v>
      </c>
      <c r="F20" s="133">
        <f t="shared" si="0"/>
        <v>20.07</v>
      </c>
      <c r="G20" s="138">
        <f t="shared" ref="G20:G24" si="2">F20/$B$5</f>
        <v>0.66900000000000004</v>
      </c>
      <c r="H20" s="133">
        <f t="shared" si="1"/>
        <v>8148.42</v>
      </c>
      <c r="I20" s="203"/>
      <c r="J20" s="144"/>
      <c r="K20" s="144"/>
      <c r="L20" s="145"/>
      <c r="N20" s="143"/>
      <c r="O20" s="164"/>
      <c r="P20" s="143"/>
      <c r="Q20" s="143"/>
      <c r="R20" s="143"/>
      <c r="S20" s="143"/>
      <c r="T20" s="143"/>
      <c r="U20" s="143"/>
      <c r="V20" s="143"/>
      <c r="W20" s="184"/>
      <c r="Z20" s="147"/>
      <c r="AA20" s="147"/>
      <c r="AB20" s="147"/>
      <c r="AC20" s="147"/>
      <c r="AD20" s="148"/>
      <c r="AE20" s="148"/>
      <c r="AF20" s="148"/>
      <c r="AG20" s="148"/>
      <c r="AH20" s="148"/>
      <c r="AI20" s="148"/>
      <c r="AJ20" s="148"/>
      <c r="AK20" s="148"/>
      <c r="AL20" s="148"/>
    </row>
    <row r="21" spans="1:53" s="146" customFormat="1" x14ac:dyDescent="0.25">
      <c r="A21" s="64" t="s">
        <v>45</v>
      </c>
      <c r="B21" s="42">
        <v>4</v>
      </c>
      <c r="C21" s="38">
        <v>0</v>
      </c>
      <c r="D21" s="41" t="s">
        <v>41</v>
      </c>
      <c r="E21" s="52">
        <v>0</v>
      </c>
      <c r="F21" s="133">
        <f t="shared" si="0"/>
        <v>0</v>
      </c>
      <c r="G21" s="138">
        <f t="shared" si="2"/>
        <v>0</v>
      </c>
      <c r="H21" s="133">
        <f t="shared" si="1"/>
        <v>0</v>
      </c>
      <c r="I21" s="203"/>
      <c r="J21" s="144"/>
      <c r="K21" s="144"/>
      <c r="L21" s="145"/>
      <c r="N21" s="143"/>
      <c r="O21" s="164"/>
      <c r="P21" s="143"/>
      <c r="Q21" s="143"/>
      <c r="R21" s="143"/>
      <c r="S21" s="143"/>
      <c r="T21" s="143"/>
      <c r="U21" s="143"/>
      <c r="V21" s="143"/>
      <c r="W21" s="143"/>
      <c r="Z21" s="147"/>
      <c r="AA21" s="147"/>
      <c r="AB21" s="147"/>
      <c r="AC21" s="147"/>
      <c r="AD21" s="148"/>
      <c r="AE21" s="148"/>
      <c r="AF21" s="148"/>
      <c r="AG21" s="148"/>
      <c r="AH21" s="148"/>
      <c r="AI21" s="148"/>
      <c r="AJ21" s="148"/>
      <c r="AK21" s="148"/>
      <c r="AL21" s="148"/>
    </row>
    <row r="22" spans="1:53" s="146" customFormat="1" ht="14.25" customHeight="1" x14ac:dyDescent="0.25">
      <c r="A22" s="64" t="s">
        <v>46</v>
      </c>
      <c r="B22" s="42">
        <v>5</v>
      </c>
      <c r="C22" s="38">
        <v>1</v>
      </c>
      <c r="D22" s="41" t="s">
        <v>41</v>
      </c>
      <c r="E22" s="52">
        <v>1000</v>
      </c>
      <c r="F22" s="133">
        <f t="shared" si="0"/>
        <v>1000</v>
      </c>
      <c r="G22" s="138">
        <f t="shared" si="2"/>
        <v>33.333333333333336</v>
      </c>
      <c r="H22" s="133">
        <f t="shared" si="1"/>
        <v>406000</v>
      </c>
      <c r="I22" s="203"/>
      <c r="J22" s="144"/>
      <c r="K22" s="144"/>
      <c r="L22" s="145"/>
      <c r="N22" s="143"/>
      <c r="O22" s="164"/>
      <c r="P22" s="143"/>
      <c r="Q22" s="143"/>
      <c r="R22" s="143"/>
      <c r="S22" s="143"/>
      <c r="T22" s="143"/>
      <c r="U22" s="143"/>
      <c r="V22" s="143"/>
      <c r="W22" s="143"/>
      <c r="Z22" s="147"/>
      <c r="AA22" s="147"/>
      <c r="AB22" s="147"/>
      <c r="AC22" s="147"/>
      <c r="AD22" s="148"/>
      <c r="AE22" s="148"/>
      <c r="AF22" s="148"/>
      <c r="AG22" s="148"/>
      <c r="AH22" s="148"/>
      <c r="AI22" s="148"/>
      <c r="AJ22" s="148"/>
      <c r="AK22" s="148"/>
      <c r="AL22" s="148"/>
    </row>
    <row r="23" spans="1:53" s="146" customFormat="1" ht="27.6" x14ac:dyDescent="0.25">
      <c r="A23" s="64" t="s">
        <v>109</v>
      </c>
      <c r="B23" s="42">
        <v>6</v>
      </c>
      <c r="C23" s="38">
        <f>((15.5/2)*2.27)</f>
        <v>17.592500000000001</v>
      </c>
      <c r="D23" s="41" t="s">
        <v>41</v>
      </c>
      <c r="E23" s="52">
        <f>(0.9+0.26+4.45)</f>
        <v>5.61</v>
      </c>
      <c r="F23" s="133">
        <f t="shared" si="0"/>
        <v>98.693925000000007</v>
      </c>
      <c r="G23" s="138">
        <f t="shared" si="2"/>
        <v>3.2897975000000002</v>
      </c>
      <c r="H23" s="133">
        <f t="shared" si="1"/>
        <v>40069.733550000004</v>
      </c>
      <c r="I23" s="203"/>
      <c r="J23" s="144"/>
      <c r="K23" s="144"/>
      <c r="L23" s="145"/>
      <c r="N23" s="143"/>
      <c r="O23" s="164"/>
      <c r="P23" s="143"/>
      <c r="Q23" s="143"/>
      <c r="R23" s="143"/>
      <c r="S23" s="143"/>
      <c r="T23" s="143"/>
      <c r="U23" s="143"/>
      <c r="V23" s="143"/>
      <c r="W23" s="143"/>
      <c r="Z23" s="147"/>
      <c r="AA23" s="147"/>
      <c r="AB23" s="147"/>
      <c r="AC23" s="147"/>
      <c r="AD23" s="148"/>
      <c r="AE23" s="148"/>
      <c r="AF23" s="148"/>
      <c r="AG23" s="148"/>
      <c r="AH23" s="148"/>
      <c r="AI23" s="148"/>
      <c r="AJ23" s="148"/>
      <c r="AK23" s="148"/>
      <c r="AL23" s="148"/>
    </row>
    <row r="24" spans="1:53" s="146" customFormat="1" x14ac:dyDescent="0.25">
      <c r="A24" s="64" t="s">
        <v>72</v>
      </c>
      <c r="B24" s="42">
        <v>7</v>
      </c>
      <c r="C24" s="38">
        <f>'Gödsel &amp; Halm'!G9+'Gödsel &amp; Halm'!G11</f>
        <v>7.1685263157894736</v>
      </c>
      <c r="D24" s="41" t="s">
        <v>122</v>
      </c>
      <c r="E24" s="52">
        <f>91-25.4</f>
        <v>65.599999999999994</v>
      </c>
      <c r="F24" s="133">
        <f t="shared" si="0"/>
        <v>470.25532631578943</v>
      </c>
      <c r="G24" s="138">
        <f t="shared" si="2"/>
        <v>15.675177543859649</v>
      </c>
      <c r="H24" s="133">
        <f t="shared" si="1"/>
        <v>190923.66248421051</v>
      </c>
      <c r="I24" s="203"/>
      <c r="J24" s="144"/>
      <c r="K24" s="144"/>
      <c r="L24" s="145"/>
      <c r="N24" s="143"/>
      <c r="O24" s="164"/>
      <c r="P24" s="143"/>
      <c r="Q24" s="143"/>
      <c r="R24" s="143"/>
      <c r="S24" s="143"/>
      <c r="T24" s="143"/>
      <c r="U24" s="143"/>
      <c r="V24" s="143"/>
      <c r="W24" s="143"/>
      <c r="Z24" s="147"/>
      <c r="AA24" s="147"/>
      <c r="AB24" s="147"/>
      <c r="AC24" s="147"/>
      <c r="AD24" s="148"/>
      <c r="AE24" s="148"/>
      <c r="AF24" s="148"/>
      <c r="AG24" s="148"/>
      <c r="AH24" s="148"/>
      <c r="AI24" s="148"/>
      <c r="AJ24" s="148"/>
      <c r="AK24" s="148"/>
      <c r="AL24" s="148"/>
      <c r="BA24" s="143"/>
    </row>
    <row r="25" spans="1:53" s="146" customFormat="1" x14ac:dyDescent="0.25">
      <c r="A25" s="64" t="s">
        <v>141</v>
      </c>
      <c r="B25" s="42">
        <v>8</v>
      </c>
      <c r="C25" s="38">
        <f>'Gödsel &amp; Halm'!H9</f>
        <v>1.7171052631578947</v>
      </c>
      <c r="D25" s="41" t="s">
        <v>122</v>
      </c>
      <c r="E25" s="52">
        <f>101-20</f>
        <v>81</v>
      </c>
      <c r="F25" s="133">
        <f t="shared" ref="F25" si="3">C25*E25</f>
        <v>139.08552631578948</v>
      </c>
      <c r="G25" s="138">
        <f t="shared" ref="G25" si="4">F25/$B$5</f>
        <v>4.6361842105263156</v>
      </c>
      <c r="H25" s="133">
        <f t="shared" ref="H25" si="5">F25*$B$4</f>
        <v>56468.723684210527</v>
      </c>
      <c r="I25" s="203"/>
      <c r="J25" s="144"/>
      <c r="K25" s="144"/>
      <c r="L25" s="145"/>
      <c r="N25" s="143"/>
      <c r="O25" s="164"/>
      <c r="P25" s="143"/>
      <c r="Q25" s="143"/>
      <c r="R25" s="143"/>
      <c r="S25" s="143"/>
      <c r="T25" s="143"/>
      <c r="U25" s="143"/>
      <c r="V25" s="143"/>
      <c r="W25" s="143"/>
      <c r="Z25" s="147"/>
      <c r="AA25" s="147"/>
      <c r="AB25" s="147"/>
      <c r="AC25" s="147"/>
      <c r="AD25" s="148"/>
      <c r="AE25" s="148"/>
      <c r="AF25" s="148"/>
      <c r="AG25" s="148"/>
      <c r="AH25" s="148"/>
      <c r="AI25" s="148"/>
      <c r="AJ25" s="148"/>
      <c r="AK25" s="148"/>
      <c r="AL25" s="148"/>
      <c r="BA25" s="143"/>
    </row>
    <row r="26" spans="1:53" s="146" customFormat="1" x14ac:dyDescent="0.25">
      <c r="A26" s="165" t="s">
        <v>92</v>
      </c>
      <c r="B26" s="166"/>
      <c r="C26" s="167"/>
      <c r="D26" s="168"/>
      <c r="E26" s="169"/>
      <c r="F26" s="53">
        <f>SUM(F18:F25)</f>
        <v>21604.904777631578</v>
      </c>
      <c r="G26" s="53">
        <f>SUM(G18:G25)</f>
        <v>720.16349258771913</v>
      </c>
      <c r="H26" s="53">
        <f>SUM(H18:H25)</f>
        <v>8771591.3397184201</v>
      </c>
      <c r="I26" s="203"/>
      <c r="J26" s="144"/>
      <c r="K26" s="144"/>
      <c r="L26" s="145"/>
      <c r="N26" s="143"/>
      <c r="O26" s="164"/>
      <c r="P26" s="143"/>
      <c r="Q26" s="143"/>
      <c r="R26" s="143"/>
      <c r="S26" s="143"/>
      <c r="T26" s="143"/>
      <c r="U26" s="143"/>
      <c r="V26" s="143"/>
      <c r="W26" s="143"/>
      <c r="Z26" s="147"/>
      <c r="AA26" s="147"/>
      <c r="AB26" s="147"/>
      <c r="AC26" s="147"/>
      <c r="AD26" s="148"/>
      <c r="AE26" s="148"/>
      <c r="AF26" s="148"/>
      <c r="AG26" s="148"/>
      <c r="AH26" s="148"/>
      <c r="AI26" s="148"/>
      <c r="AJ26" s="148"/>
      <c r="AK26" s="148"/>
      <c r="AL26" s="148"/>
      <c r="BA26" s="143"/>
    </row>
    <row r="27" spans="1:53" s="146" customFormat="1" x14ac:dyDescent="0.25">
      <c r="A27" s="170"/>
      <c r="B27" s="123"/>
      <c r="C27" s="171"/>
      <c r="D27" s="150"/>
      <c r="E27" s="172"/>
      <c r="F27" s="173"/>
      <c r="G27" s="197"/>
      <c r="H27" s="143"/>
      <c r="I27" s="40"/>
      <c r="J27" s="145"/>
      <c r="K27" s="143"/>
      <c r="L27" s="143"/>
      <c r="M27" s="164"/>
      <c r="N27" s="143"/>
      <c r="O27" s="143"/>
      <c r="P27" s="143"/>
      <c r="Q27" s="143"/>
      <c r="R27" s="143"/>
      <c r="S27" s="143"/>
      <c r="T27" s="143"/>
      <c r="U27" s="143"/>
      <c r="X27" s="147"/>
      <c r="Y27" s="147"/>
      <c r="Z27" s="147"/>
      <c r="AA27" s="147"/>
      <c r="AB27" s="148"/>
      <c r="AC27" s="148"/>
      <c r="AD27" s="148"/>
      <c r="AE27" s="148"/>
      <c r="AF27" s="148"/>
      <c r="AG27" s="148"/>
      <c r="AH27" s="148"/>
      <c r="AI27" s="148"/>
      <c r="AJ27" s="148"/>
      <c r="AY27" s="143"/>
    </row>
    <row r="28" spans="1:53" s="146" customFormat="1" ht="27.6" x14ac:dyDescent="0.25">
      <c r="A28" s="160" t="s">
        <v>105</v>
      </c>
      <c r="B28" s="161" t="s">
        <v>6</v>
      </c>
      <c r="C28" s="162" t="s">
        <v>107</v>
      </c>
      <c r="D28" s="162" t="s">
        <v>27</v>
      </c>
      <c r="E28" s="162" t="s">
        <v>108</v>
      </c>
      <c r="F28" s="162" t="s">
        <v>90</v>
      </c>
      <c r="G28" s="163" t="s">
        <v>91</v>
      </c>
      <c r="H28" s="163" t="s">
        <v>89</v>
      </c>
      <c r="I28" s="40"/>
      <c r="J28" s="145"/>
      <c r="K28" s="143"/>
      <c r="L28" s="143"/>
      <c r="M28" s="164"/>
      <c r="N28" s="143"/>
      <c r="O28" s="143"/>
      <c r="P28" s="143"/>
      <c r="Q28" s="143"/>
      <c r="R28" s="143"/>
      <c r="S28" s="143"/>
      <c r="T28" s="143"/>
      <c r="U28" s="143"/>
      <c r="X28" s="147"/>
      <c r="Y28" s="147"/>
      <c r="Z28" s="147"/>
      <c r="AA28" s="147"/>
      <c r="AB28" s="148"/>
      <c r="AC28" s="148"/>
      <c r="AD28" s="148"/>
      <c r="AE28" s="148"/>
      <c r="AF28" s="148"/>
      <c r="AG28" s="148"/>
      <c r="AH28" s="148"/>
      <c r="AI28" s="148"/>
      <c r="AJ28" s="148"/>
      <c r="AY28" s="143"/>
    </row>
    <row r="29" spans="1:53" s="146" customFormat="1" x14ac:dyDescent="0.25">
      <c r="A29" s="64" t="s">
        <v>47</v>
      </c>
      <c r="B29" s="42">
        <v>9</v>
      </c>
      <c r="C29" s="204">
        <f>+C19+C20</f>
        <v>0.5</v>
      </c>
      <c r="D29" s="37" t="s">
        <v>43</v>
      </c>
      <c r="E29" s="52">
        <v>5500</v>
      </c>
      <c r="F29" s="133">
        <f>C29*E29</f>
        <v>2750</v>
      </c>
      <c r="G29" s="138">
        <f t="shared" ref="G29:G55" si="6">F29/$B$5</f>
        <v>91.666666666666671</v>
      </c>
      <c r="H29" s="133">
        <f t="shared" ref="H29:H43" si="7">F29*$B$4</f>
        <v>1116500</v>
      </c>
      <c r="I29" s="209"/>
      <c r="J29" s="145"/>
      <c r="K29" s="143"/>
      <c r="L29" s="143"/>
      <c r="M29" s="164"/>
      <c r="N29" s="143"/>
      <c r="O29" s="143"/>
      <c r="P29" s="143"/>
      <c r="Q29" s="143"/>
      <c r="R29" s="143"/>
      <c r="S29" s="143"/>
      <c r="T29" s="143"/>
      <c r="U29" s="143"/>
      <c r="X29" s="147"/>
      <c r="Y29" s="147"/>
      <c r="Z29" s="147"/>
      <c r="AA29" s="147"/>
      <c r="AB29" s="148"/>
      <c r="AC29" s="148"/>
      <c r="AD29" s="148"/>
      <c r="AE29" s="148"/>
      <c r="AF29" s="148"/>
      <c r="AG29" s="148"/>
      <c r="AH29" s="148"/>
      <c r="AI29" s="148"/>
      <c r="AJ29" s="148"/>
    </row>
    <row r="30" spans="1:53" s="146" customFormat="1" x14ac:dyDescent="0.25">
      <c r="A30" s="64" t="s">
        <v>276</v>
      </c>
      <c r="B30" s="42">
        <v>10</v>
      </c>
      <c r="C30" s="40">
        <f>Foder!C169</f>
        <v>796.47391304347855</v>
      </c>
      <c r="D30" s="37" t="s">
        <v>48</v>
      </c>
      <c r="E30" s="52">
        <f>Foder!C3</f>
        <v>1.93</v>
      </c>
      <c r="F30" s="133">
        <f t="shared" ref="F30:F43" si="8">C30*E30</f>
        <v>1537.1946521739135</v>
      </c>
      <c r="G30" s="138">
        <f t="shared" si="6"/>
        <v>51.239821739130448</v>
      </c>
      <c r="H30" s="133">
        <f t="shared" si="7"/>
        <v>624101.02878260892</v>
      </c>
      <c r="I30" s="209"/>
      <c r="J30" s="145"/>
      <c r="K30" s="143"/>
      <c r="L30" s="143"/>
      <c r="M30" s="164"/>
      <c r="N30" s="143"/>
      <c r="O30" s="143"/>
      <c r="P30" s="143"/>
      <c r="Q30" s="143"/>
      <c r="R30" s="143"/>
      <c r="S30" s="143"/>
      <c r="T30" s="143"/>
      <c r="U30" s="143"/>
      <c r="X30" s="147"/>
      <c r="Y30" s="147"/>
      <c r="Z30" s="147"/>
      <c r="AA30" s="147"/>
      <c r="AB30" s="148"/>
      <c r="AC30" s="148"/>
      <c r="AD30" s="148"/>
      <c r="AE30" s="148"/>
      <c r="AF30" s="148"/>
      <c r="AG30" s="148"/>
      <c r="AH30" s="148"/>
      <c r="AI30" s="148"/>
      <c r="AJ30" s="148"/>
    </row>
    <row r="31" spans="1:53" s="146" customFormat="1" x14ac:dyDescent="0.25">
      <c r="A31" s="64" t="s">
        <v>277</v>
      </c>
      <c r="B31" s="42">
        <v>11</v>
      </c>
      <c r="C31" s="40">
        <f>Foder!D169</f>
        <v>610.14848484848449</v>
      </c>
      <c r="D31" s="37" t="s">
        <v>48</v>
      </c>
      <c r="E31" s="52">
        <f>Foder!C4</f>
        <v>2.56</v>
      </c>
      <c r="F31" s="133">
        <f t="shared" si="8"/>
        <v>1561.9801212121204</v>
      </c>
      <c r="G31" s="138">
        <f t="shared" si="6"/>
        <v>52.06600404040401</v>
      </c>
      <c r="H31" s="133">
        <f t="shared" si="7"/>
        <v>634163.92921212083</v>
      </c>
      <c r="I31" s="209"/>
      <c r="J31" s="145"/>
      <c r="K31" s="143"/>
      <c r="L31" s="143"/>
      <c r="M31" s="164"/>
      <c r="N31" s="143"/>
      <c r="O31" s="143"/>
      <c r="P31" s="143"/>
      <c r="Q31" s="143"/>
      <c r="R31" s="143"/>
      <c r="S31" s="143"/>
      <c r="T31" s="143"/>
      <c r="U31" s="143"/>
      <c r="X31" s="147"/>
      <c r="Y31" s="147"/>
      <c r="Z31" s="147"/>
      <c r="AA31" s="147"/>
      <c r="AB31" s="148"/>
      <c r="AC31" s="148"/>
      <c r="AD31" s="148"/>
      <c r="AE31" s="148"/>
      <c r="AF31" s="148"/>
      <c r="AG31" s="148"/>
      <c r="AH31" s="148"/>
      <c r="AI31" s="148"/>
      <c r="AJ31" s="148"/>
    </row>
    <row r="32" spans="1:53" s="146" customFormat="1" x14ac:dyDescent="0.25">
      <c r="A32" s="64" t="s">
        <v>148</v>
      </c>
      <c r="B32" s="42">
        <v>12</v>
      </c>
      <c r="C32" s="40">
        <f>1.5*B5</f>
        <v>45</v>
      </c>
      <c r="D32" s="37" t="s">
        <v>48</v>
      </c>
      <c r="E32" s="52">
        <v>9.5</v>
      </c>
      <c r="F32" s="133">
        <f t="shared" si="8"/>
        <v>427.5</v>
      </c>
      <c r="G32" s="138">
        <f t="shared" si="6"/>
        <v>14.25</v>
      </c>
      <c r="H32" s="133">
        <f t="shared" si="7"/>
        <v>173565</v>
      </c>
      <c r="I32" s="209"/>
      <c r="J32" s="145"/>
      <c r="K32" s="143"/>
      <c r="L32" s="143"/>
      <c r="M32" s="164"/>
      <c r="N32" s="143"/>
      <c r="O32" s="143"/>
      <c r="P32" s="143"/>
      <c r="Q32" s="143"/>
      <c r="R32" s="143"/>
      <c r="S32" s="143"/>
      <c r="T32" s="143"/>
      <c r="U32" s="143"/>
      <c r="X32" s="147"/>
      <c r="Y32" s="147"/>
      <c r="Z32" s="147"/>
      <c r="AA32" s="147"/>
      <c r="AB32" s="148"/>
      <c r="AC32" s="148"/>
      <c r="AD32" s="148"/>
      <c r="AE32" s="148"/>
      <c r="AF32" s="148"/>
      <c r="AG32" s="148"/>
      <c r="AH32" s="148"/>
      <c r="AI32" s="148"/>
      <c r="AJ32" s="148"/>
    </row>
    <row r="33" spans="1:36" s="146" customFormat="1" x14ac:dyDescent="0.25">
      <c r="A33" s="64" t="s">
        <v>149</v>
      </c>
      <c r="B33" s="42">
        <v>13</v>
      </c>
      <c r="C33" s="40">
        <f>(380/Foder!D5)*PigWin!D5</f>
        <v>1212.7659574468084</v>
      </c>
      <c r="D33" s="37" t="s">
        <v>48</v>
      </c>
      <c r="E33" s="52">
        <f>Foder!C5</f>
        <v>3.38</v>
      </c>
      <c r="F33" s="133">
        <f t="shared" ref="F33" si="9">C33*E33</f>
        <v>4099.1489361702124</v>
      </c>
      <c r="G33" s="138">
        <f t="shared" ref="G33" si="10">F33/$B$5</f>
        <v>136.63829787234042</v>
      </c>
      <c r="H33" s="133">
        <f t="shared" ref="H33" si="11">F33*$B$4</f>
        <v>1664254.4680851062</v>
      </c>
      <c r="I33" s="209"/>
      <c r="J33" s="145"/>
      <c r="K33" s="143"/>
      <c r="L33" s="143"/>
      <c r="M33" s="164"/>
      <c r="N33" s="143"/>
      <c r="O33" s="143"/>
      <c r="P33" s="143"/>
      <c r="Q33" s="143"/>
      <c r="R33" s="143"/>
      <c r="S33" s="143"/>
      <c r="T33" s="143"/>
      <c r="U33" s="143"/>
      <c r="X33" s="147"/>
      <c r="Y33" s="147"/>
      <c r="Z33" s="147"/>
      <c r="AA33" s="147"/>
      <c r="AB33" s="148"/>
      <c r="AC33" s="148"/>
      <c r="AD33" s="148"/>
      <c r="AE33" s="148"/>
      <c r="AF33" s="148"/>
      <c r="AG33" s="148"/>
      <c r="AH33" s="148"/>
      <c r="AI33" s="148"/>
      <c r="AJ33" s="148"/>
    </row>
    <row r="34" spans="1:36" s="146" customFormat="1" x14ac:dyDescent="0.25">
      <c r="A34" s="64" t="s">
        <v>49</v>
      </c>
      <c r="B34" s="42">
        <v>14</v>
      </c>
      <c r="C34" s="40">
        <f>'Gödsel &amp; Halm'!D9</f>
        <v>310.64949999999999</v>
      </c>
      <c r="D34" s="37" t="s">
        <v>48</v>
      </c>
      <c r="E34" s="52">
        <v>0.8</v>
      </c>
      <c r="F34" s="133">
        <f t="shared" si="8"/>
        <v>248.5196</v>
      </c>
      <c r="G34" s="138">
        <f t="shared" si="6"/>
        <v>8.2839866666666673</v>
      </c>
      <c r="H34" s="133">
        <f t="shared" si="7"/>
        <v>100898.95759999999</v>
      </c>
      <c r="I34" s="209"/>
      <c r="J34" s="145"/>
      <c r="K34" s="143"/>
      <c r="L34" s="143"/>
      <c r="M34" s="164"/>
      <c r="N34" s="143"/>
      <c r="O34" s="143"/>
      <c r="P34" s="143"/>
      <c r="Q34" s="143"/>
      <c r="R34" s="143"/>
      <c r="S34" s="143"/>
      <c r="T34" s="143"/>
      <c r="U34" s="143"/>
      <c r="X34" s="147"/>
      <c r="Y34" s="147"/>
      <c r="Z34" s="147"/>
      <c r="AA34" s="147"/>
      <c r="AB34" s="148"/>
      <c r="AC34" s="148"/>
      <c r="AD34" s="148"/>
      <c r="AE34" s="148"/>
      <c r="AF34" s="148"/>
      <c r="AG34" s="148"/>
      <c r="AH34" s="148"/>
      <c r="AI34" s="148"/>
      <c r="AJ34" s="148"/>
    </row>
    <row r="35" spans="1:36" s="146" customFormat="1" x14ac:dyDescent="0.25">
      <c r="A35" s="64" t="s">
        <v>50</v>
      </c>
      <c r="B35" s="42">
        <v>15</v>
      </c>
      <c r="C35" s="40">
        <f>El!O20+El!O13</f>
        <v>639</v>
      </c>
      <c r="D35" s="37" t="s">
        <v>51</v>
      </c>
      <c r="E35" s="52">
        <f>El!G34/100</f>
        <v>0.37400000000000005</v>
      </c>
      <c r="F35" s="133">
        <f t="shared" si="8"/>
        <v>238.98600000000005</v>
      </c>
      <c r="G35" s="138">
        <f t="shared" si="6"/>
        <v>7.9662000000000015</v>
      </c>
      <c r="H35" s="133">
        <f t="shared" si="7"/>
        <v>97028.316000000021</v>
      </c>
      <c r="I35" s="209"/>
      <c r="J35" s="145"/>
      <c r="K35" s="143"/>
      <c r="L35" s="143"/>
      <c r="M35" s="164"/>
      <c r="N35" s="143"/>
      <c r="O35" s="143"/>
      <c r="P35" s="143"/>
      <c r="Q35" s="143"/>
      <c r="R35" s="143"/>
      <c r="S35" s="143"/>
      <c r="T35" s="143"/>
      <c r="U35" s="143"/>
      <c r="X35" s="147"/>
      <c r="Y35" s="147"/>
      <c r="Z35" s="147"/>
      <c r="AA35" s="147"/>
      <c r="AB35" s="148"/>
      <c r="AC35" s="148"/>
      <c r="AD35" s="148"/>
      <c r="AE35" s="148"/>
      <c r="AF35" s="148"/>
      <c r="AG35" s="148"/>
      <c r="AH35" s="148"/>
      <c r="AI35" s="148"/>
      <c r="AJ35" s="148"/>
    </row>
    <row r="36" spans="1:36" s="146" customFormat="1" ht="27.6" x14ac:dyDescent="0.25">
      <c r="A36" s="64" t="s">
        <v>88</v>
      </c>
      <c r="B36" s="42">
        <v>16</v>
      </c>
      <c r="C36" s="266">
        <f>1/B4</f>
        <v>2.4630541871921183E-3</v>
      </c>
      <c r="D36" s="37" t="s">
        <v>43</v>
      </c>
      <c r="E36" s="52">
        <f>1188+2800+1900</f>
        <v>5888</v>
      </c>
      <c r="F36" s="133">
        <f t="shared" si="8"/>
        <v>14.502463054187192</v>
      </c>
      <c r="G36" s="138">
        <f t="shared" si="6"/>
        <v>0.48341543513957308</v>
      </c>
      <c r="H36" s="133">
        <f t="shared" si="7"/>
        <v>5888</v>
      </c>
      <c r="I36" s="209"/>
      <c r="J36" s="145"/>
      <c r="K36" s="143"/>
      <c r="L36" s="143"/>
      <c r="M36" s="164"/>
      <c r="N36" s="143"/>
      <c r="O36" s="143"/>
      <c r="P36" s="143"/>
      <c r="Q36" s="143"/>
      <c r="R36" s="143"/>
      <c r="S36" s="143"/>
      <c r="T36" s="143"/>
      <c r="U36" s="143"/>
      <c r="X36" s="147"/>
      <c r="Y36" s="147"/>
      <c r="Z36" s="147"/>
      <c r="AA36" s="147"/>
      <c r="AB36" s="148"/>
      <c r="AC36" s="148"/>
      <c r="AD36" s="148"/>
      <c r="AE36" s="148"/>
      <c r="AF36" s="148"/>
      <c r="AG36" s="148"/>
      <c r="AH36" s="148"/>
      <c r="AI36" s="148"/>
      <c r="AJ36" s="148"/>
    </row>
    <row r="37" spans="1:36" s="146" customFormat="1" x14ac:dyDescent="0.25">
      <c r="A37" s="64" t="s">
        <v>52</v>
      </c>
      <c r="B37" s="42">
        <v>17</v>
      </c>
      <c r="C37" s="266">
        <v>0</v>
      </c>
      <c r="D37" s="37" t="s">
        <v>43</v>
      </c>
      <c r="E37" s="52">
        <v>0</v>
      </c>
      <c r="F37" s="133">
        <f t="shared" si="8"/>
        <v>0</v>
      </c>
      <c r="G37" s="138">
        <f t="shared" si="6"/>
        <v>0</v>
      </c>
      <c r="H37" s="133">
        <f t="shared" si="7"/>
        <v>0</v>
      </c>
      <c r="I37" s="209"/>
      <c r="J37" s="145"/>
      <c r="K37" s="143"/>
      <c r="L37" s="143"/>
      <c r="M37" s="164"/>
      <c r="N37" s="143"/>
      <c r="O37" s="143"/>
      <c r="P37" s="143"/>
      <c r="Q37" s="143"/>
      <c r="R37" s="143"/>
      <c r="S37" s="143"/>
      <c r="T37" s="143"/>
      <c r="U37" s="143"/>
      <c r="X37" s="147"/>
      <c r="Y37" s="147"/>
      <c r="Z37" s="147"/>
      <c r="AA37" s="147"/>
      <c r="AB37" s="148"/>
      <c r="AC37" s="148"/>
      <c r="AD37" s="148"/>
      <c r="AE37" s="148"/>
      <c r="AF37" s="148"/>
      <c r="AG37" s="148"/>
      <c r="AH37" s="148"/>
      <c r="AI37" s="148"/>
      <c r="AJ37" s="148"/>
    </row>
    <row r="38" spans="1:36" s="146" customFormat="1" x14ac:dyDescent="0.25">
      <c r="A38" s="64" t="s">
        <v>53</v>
      </c>
      <c r="B38" s="42">
        <v>18</v>
      </c>
      <c r="C38" s="39">
        <f>(1-PigWin!D7)*PigWin!D6*(1+PigWin!D14)*3</f>
        <v>5.5383300000000002</v>
      </c>
      <c r="D38" s="37" t="s">
        <v>41</v>
      </c>
      <c r="E38" s="52">
        <v>50</v>
      </c>
      <c r="F38" s="133">
        <f t="shared" si="8"/>
        <v>276.91649999999998</v>
      </c>
      <c r="G38" s="138">
        <f t="shared" si="6"/>
        <v>9.2305499999999991</v>
      </c>
      <c r="H38" s="133">
        <f t="shared" si="7"/>
        <v>112428.09899999999</v>
      </c>
      <c r="I38" s="209"/>
      <c r="J38" s="145"/>
      <c r="K38" s="143"/>
      <c r="L38" s="143"/>
      <c r="M38" s="164"/>
      <c r="N38" s="143"/>
      <c r="O38" s="143"/>
      <c r="P38" s="143"/>
      <c r="Q38" s="143"/>
      <c r="R38" s="143"/>
      <c r="S38" s="143"/>
      <c r="T38" s="143"/>
      <c r="U38" s="143"/>
      <c r="X38" s="147"/>
      <c r="Y38" s="147"/>
      <c r="Z38" s="147"/>
      <c r="AA38" s="147"/>
      <c r="AB38" s="148"/>
      <c r="AC38" s="148"/>
      <c r="AD38" s="148"/>
      <c r="AE38" s="148"/>
      <c r="AF38" s="148"/>
      <c r="AG38" s="148"/>
      <c r="AH38" s="148"/>
      <c r="AI38" s="148"/>
      <c r="AJ38" s="148"/>
    </row>
    <row r="39" spans="1:36" s="146" customFormat="1" x14ac:dyDescent="0.25">
      <c r="A39" s="64" t="s">
        <v>110</v>
      </c>
      <c r="B39" s="42">
        <v>19</v>
      </c>
      <c r="C39" s="40">
        <v>1</v>
      </c>
      <c r="D39" s="37" t="s">
        <v>41</v>
      </c>
      <c r="E39" s="52">
        <f>'Vet Medicin'!I31+'Vet Medicin'!I33</f>
        <v>619.88604202419572</v>
      </c>
      <c r="F39" s="133">
        <f t="shared" si="8"/>
        <v>619.88604202419572</v>
      </c>
      <c r="G39" s="138">
        <f t="shared" si="6"/>
        <v>20.662868067473191</v>
      </c>
      <c r="H39" s="133">
        <f t="shared" si="7"/>
        <v>251673.73306182347</v>
      </c>
      <c r="I39" s="209"/>
      <c r="J39" s="145"/>
      <c r="K39" s="143"/>
      <c r="L39" s="143"/>
      <c r="M39" s="164"/>
      <c r="N39" s="143"/>
      <c r="O39" s="143"/>
      <c r="P39" s="143"/>
      <c r="Q39" s="143"/>
      <c r="R39" s="143"/>
      <c r="S39" s="143"/>
      <c r="T39" s="143"/>
      <c r="U39" s="143"/>
      <c r="X39" s="147"/>
      <c r="Y39" s="147"/>
      <c r="Z39" s="147"/>
      <c r="AA39" s="147"/>
      <c r="AB39" s="148"/>
      <c r="AC39" s="148"/>
      <c r="AD39" s="148"/>
      <c r="AE39" s="148"/>
      <c r="AF39" s="148"/>
      <c r="AG39" s="148"/>
      <c r="AH39" s="148"/>
      <c r="AI39" s="148"/>
      <c r="AJ39" s="148"/>
    </row>
    <row r="40" spans="1:36" s="146" customFormat="1" x14ac:dyDescent="0.25">
      <c r="A40" s="64" t="s">
        <v>207</v>
      </c>
      <c r="B40" s="42">
        <v>20</v>
      </c>
      <c r="C40" s="40">
        <v>1</v>
      </c>
      <c r="D40" s="37" t="s">
        <v>43</v>
      </c>
      <c r="E40" s="52">
        <f>'Vet Medicin'!I34</f>
        <v>6.2807881773399012</v>
      </c>
      <c r="F40" s="133">
        <f t="shared" si="8"/>
        <v>6.2807881773399012</v>
      </c>
      <c r="G40" s="138">
        <f t="shared" si="6"/>
        <v>0.20935960591133004</v>
      </c>
      <c r="H40" s="133">
        <f t="shared" si="7"/>
        <v>2550</v>
      </c>
      <c r="I40" s="209"/>
      <c r="J40" s="145"/>
      <c r="K40" s="143"/>
      <c r="L40" s="143"/>
      <c r="M40" s="164"/>
      <c r="N40" s="143"/>
      <c r="O40" s="143"/>
      <c r="P40" s="143"/>
      <c r="Q40" s="143"/>
      <c r="R40" s="143"/>
      <c r="S40" s="143"/>
      <c r="T40" s="143"/>
      <c r="U40" s="143"/>
      <c r="X40" s="147"/>
      <c r="Y40" s="147"/>
      <c r="Z40" s="147"/>
      <c r="AA40" s="147"/>
      <c r="AB40" s="148"/>
      <c r="AC40" s="148"/>
      <c r="AD40" s="148"/>
      <c r="AE40" s="148"/>
      <c r="AF40" s="148"/>
      <c r="AG40" s="148"/>
      <c r="AH40" s="148"/>
      <c r="AI40" s="148"/>
      <c r="AJ40" s="148"/>
    </row>
    <row r="41" spans="1:36" s="146" customFormat="1" x14ac:dyDescent="0.25">
      <c r="A41" s="64" t="s">
        <v>305</v>
      </c>
      <c r="B41" s="42">
        <v>21</v>
      </c>
      <c r="C41" s="266">
        <f>1/B4</f>
        <v>2.4630541871921183E-3</v>
      </c>
      <c r="D41" s="37" t="s">
        <v>43</v>
      </c>
      <c r="E41" s="52">
        <f>(6000+3000+6800)/5</f>
        <v>3160</v>
      </c>
      <c r="F41" s="133">
        <f t="shared" ref="F41" si="12">C41*E41</f>
        <v>7.7832512315270934</v>
      </c>
      <c r="G41" s="138">
        <f t="shared" ref="G41" si="13">F41/$B$5</f>
        <v>0.2594417077175698</v>
      </c>
      <c r="H41" s="133">
        <f t="shared" ref="H41" si="14">F41*$B$4</f>
        <v>3160</v>
      </c>
      <c r="I41" s="209"/>
      <c r="J41" s="145"/>
      <c r="K41" s="143"/>
      <c r="L41" s="143"/>
      <c r="M41" s="164"/>
      <c r="N41" s="143"/>
      <c r="O41" s="143"/>
      <c r="P41" s="143"/>
      <c r="Q41" s="143"/>
      <c r="R41" s="143"/>
      <c r="S41" s="143"/>
      <c r="T41" s="143"/>
      <c r="U41" s="143"/>
      <c r="X41" s="147"/>
      <c r="Y41" s="147"/>
      <c r="Z41" s="147"/>
      <c r="AA41" s="147"/>
      <c r="AB41" s="148"/>
      <c r="AC41" s="148"/>
      <c r="AD41" s="148"/>
      <c r="AE41" s="148"/>
      <c r="AF41" s="148"/>
      <c r="AG41" s="148"/>
      <c r="AH41" s="148"/>
      <c r="AI41" s="148"/>
      <c r="AJ41" s="148"/>
    </row>
    <row r="42" spans="1:36" s="146" customFormat="1" x14ac:dyDescent="0.25">
      <c r="A42" s="64" t="s">
        <v>313</v>
      </c>
      <c r="B42" s="42">
        <v>22</v>
      </c>
      <c r="C42" s="266">
        <f>1/B4</f>
        <v>2.4630541871921183E-3</v>
      </c>
      <c r="D42" s="37" t="s">
        <v>43</v>
      </c>
      <c r="E42" s="52">
        <f>7*PigWin!D6*(102+108)</f>
        <v>3336.9</v>
      </c>
      <c r="F42" s="133">
        <f t="shared" ref="F42" si="15">C42*E42</f>
        <v>8.2189655172413794</v>
      </c>
      <c r="G42" s="138">
        <f t="shared" ref="G42" si="16">F42/$B$5</f>
        <v>0.2739655172413793</v>
      </c>
      <c r="H42" s="133">
        <f t="shared" ref="H42" si="17">F42*$B$4</f>
        <v>3336.9</v>
      </c>
      <c r="I42" s="209"/>
      <c r="J42" s="145"/>
      <c r="K42" s="143"/>
      <c r="L42" s="143"/>
      <c r="M42" s="164"/>
      <c r="N42" s="143"/>
      <c r="O42" s="143"/>
      <c r="P42" s="143"/>
      <c r="Q42" s="143"/>
      <c r="R42" s="143"/>
      <c r="S42" s="143"/>
      <c r="T42" s="143"/>
      <c r="U42" s="143"/>
      <c r="X42" s="147"/>
      <c r="Y42" s="147"/>
      <c r="Z42" s="147"/>
      <c r="AA42" s="147"/>
      <c r="AB42" s="148"/>
      <c r="AC42" s="148"/>
      <c r="AD42" s="148"/>
      <c r="AE42" s="148"/>
      <c r="AF42" s="148"/>
      <c r="AG42" s="148"/>
      <c r="AH42" s="148"/>
      <c r="AI42" s="148"/>
      <c r="AJ42" s="148"/>
    </row>
    <row r="43" spans="1:36" s="146" customFormat="1" x14ac:dyDescent="0.25">
      <c r="A43" s="64" t="s">
        <v>65</v>
      </c>
      <c r="B43" s="42">
        <v>23</v>
      </c>
      <c r="C43" s="457">
        <v>1</v>
      </c>
      <c r="D43" s="451" t="s">
        <v>43</v>
      </c>
      <c r="E43" s="52">
        <v>150</v>
      </c>
      <c r="F43" s="133">
        <f t="shared" si="8"/>
        <v>150</v>
      </c>
      <c r="G43" s="138">
        <f t="shared" si="6"/>
        <v>5</v>
      </c>
      <c r="H43" s="133">
        <f t="shared" si="7"/>
        <v>60900</v>
      </c>
      <c r="I43" s="209"/>
      <c r="J43" s="145"/>
      <c r="K43" s="143"/>
      <c r="L43" s="143"/>
      <c r="M43" s="164"/>
      <c r="N43" s="143"/>
      <c r="O43" s="143"/>
      <c r="P43" s="143"/>
      <c r="Q43" s="143"/>
      <c r="R43" s="143"/>
      <c r="S43" s="143"/>
      <c r="T43" s="143"/>
      <c r="U43" s="143"/>
      <c r="X43" s="147"/>
      <c r="Y43" s="147"/>
      <c r="Z43" s="147"/>
      <c r="AA43" s="147"/>
      <c r="AB43" s="148"/>
      <c r="AC43" s="148"/>
      <c r="AD43" s="148"/>
      <c r="AE43" s="148"/>
      <c r="AF43" s="148"/>
      <c r="AG43" s="148"/>
      <c r="AH43" s="148"/>
      <c r="AI43" s="148"/>
      <c r="AJ43" s="148"/>
    </row>
    <row r="44" spans="1:36" s="146" customFormat="1" x14ac:dyDescent="0.25">
      <c r="A44" s="174"/>
      <c r="B44" s="175" t="s">
        <v>54</v>
      </c>
      <c r="C44" s="176"/>
      <c r="D44" s="175"/>
      <c r="E44" s="177"/>
      <c r="F44" s="53">
        <f>SUM(F29:F43)</f>
        <v>11946.917319560738</v>
      </c>
      <c r="G44" s="198">
        <f>F44/$B$5</f>
        <v>398.23057731869125</v>
      </c>
      <c r="H44" s="134">
        <f>F44*$B$4</f>
        <v>4850448.4317416595</v>
      </c>
      <c r="I44" s="209"/>
      <c r="J44" s="145"/>
      <c r="K44" s="143"/>
      <c r="L44" s="143"/>
      <c r="M44" s="164"/>
      <c r="N44" s="143"/>
      <c r="O44" s="143"/>
      <c r="P44" s="143"/>
      <c r="Q44" s="143"/>
      <c r="R44" s="143"/>
      <c r="S44" s="143"/>
      <c r="T44" s="143"/>
      <c r="U44" s="143"/>
      <c r="X44" s="147"/>
      <c r="Y44" s="147"/>
      <c r="Z44" s="147"/>
      <c r="AA44" s="147"/>
      <c r="AB44" s="148"/>
      <c r="AC44" s="148"/>
      <c r="AD44" s="148"/>
      <c r="AE44" s="148"/>
      <c r="AF44" s="148"/>
      <c r="AG44" s="148"/>
      <c r="AH44" s="148"/>
      <c r="AI44" s="148"/>
      <c r="AJ44" s="148"/>
    </row>
    <row r="45" spans="1:36" s="146" customFormat="1" x14ac:dyDescent="0.25">
      <c r="A45" s="126" t="s">
        <v>119</v>
      </c>
      <c r="B45" s="123">
        <v>24</v>
      </c>
      <c r="C45" s="466">
        <v>1</v>
      </c>
      <c r="D45" s="467" t="s">
        <v>43</v>
      </c>
      <c r="E45" s="468">
        <v>100</v>
      </c>
      <c r="F45" s="133">
        <f>C45*E45</f>
        <v>100</v>
      </c>
      <c r="G45" s="138">
        <f>F45/$B$5</f>
        <v>3.3333333333333335</v>
      </c>
      <c r="H45" s="133">
        <f>F45*$B$4</f>
        <v>40600</v>
      </c>
      <c r="I45" s="209"/>
      <c r="J45" s="145"/>
      <c r="K45" s="143"/>
      <c r="L45" s="143"/>
      <c r="M45" s="164"/>
      <c r="N45" s="143"/>
      <c r="O45" s="143"/>
      <c r="P45" s="143"/>
      <c r="Q45" s="143"/>
      <c r="R45" s="143"/>
      <c r="S45" s="143"/>
      <c r="T45" s="143"/>
      <c r="U45" s="143"/>
      <c r="X45" s="147"/>
      <c r="Y45" s="147"/>
      <c r="Z45" s="147"/>
      <c r="AA45" s="147"/>
      <c r="AB45" s="148"/>
      <c r="AC45" s="148"/>
      <c r="AD45" s="148"/>
      <c r="AE45" s="148"/>
      <c r="AF45" s="148"/>
      <c r="AG45" s="148"/>
      <c r="AH45" s="148"/>
      <c r="AI45" s="148"/>
      <c r="AJ45" s="148"/>
    </row>
    <row r="46" spans="1:36" s="146" customFormat="1" x14ac:dyDescent="0.25">
      <c r="A46" s="126" t="s">
        <v>55</v>
      </c>
      <c r="B46" s="178" t="s">
        <v>73</v>
      </c>
      <c r="C46" s="137">
        <f>($E$19+$E$29)/2</f>
        <v>3470</v>
      </c>
      <c r="D46" s="124" t="s">
        <v>41</v>
      </c>
      <c r="E46" s="136">
        <f>Investeringskalkyl!$B$23</f>
        <v>0.05</v>
      </c>
      <c r="F46" s="133">
        <f t="shared" ref="F46:F48" si="18">C46*E46</f>
        <v>173.5</v>
      </c>
      <c r="G46" s="138">
        <f t="shared" si="6"/>
        <v>5.7833333333333332</v>
      </c>
      <c r="H46" s="133">
        <f t="shared" ref="H46:H48" si="19">F46*$B$4</f>
        <v>70441</v>
      </c>
      <c r="I46" s="428"/>
      <c r="J46" s="145"/>
      <c r="K46" s="143"/>
      <c r="L46" s="143"/>
      <c r="M46" s="164"/>
      <c r="N46" s="143"/>
      <c r="O46" s="143"/>
      <c r="P46" s="143"/>
      <c r="Q46" s="143"/>
      <c r="R46" s="143"/>
      <c r="S46" s="143"/>
      <c r="T46" s="143"/>
      <c r="U46" s="143"/>
      <c r="X46" s="147"/>
      <c r="Y46" s="147"/>
      <c r="Z46" s="147"/>
      <c r="AA46" s="147"/>
      <c r="AB46" s="148"/>
      <c r="AC46" s="148"/>
      <c r="AD46" s="148"/>
      <c r="AE46" s="148"/>
      <c r="AF46" s="148"/>
      <c r="AG46" s="148"/>
      <c r="AH46" s="148"/>
      <c r="AI46" s="148"/>
      <c r="AJ46" s="148"/>
    </row>
    <row r="47" spans="1:36" s="146" customFormat="1" x14ac:dyDescent="0.25">
      <c r="A47" s="126" t="s">
        <v>112</v>
      </c>
      <c r="B47" s="178" t="s">
        <v>73</v>
      </c>
      <c r="C47" s="137">
        <f>(($F$44-$F$29)+SUM(F51:F55))/2</f>
        <v>6099.5621080562314</v>
      </c>
      <c r="D47" s="124" t="s">
        <v>41</v>
      </c>
      <c r="E47" s="136">
        <f>Investeringskalkyl!$B$23</f>
        <v>0.05</v>
      </c>
      <c r="F47" s="133">
        <f t="shared" ref="F47" si="20">C47*E47</f>
        <v>304.97810540281159</v>
      </c>
      <c r="G47" s="138">
        <f t="shared" si="6"/>
        <v>10.165936846760387</v>
      </c>
      <c r="H47" s="133">
        <f t="shared" ref="H47" si="21">F47*$B$4</f>
        <v>123821.11079354151</v>
      </c>
      <c r="I47" s="428"/>
      <c r="J47" s="145"/>
      <c r="K47" s="143"/>
      <c r="L47" s="143"/>
      <c r="M47" s="164"/>
      <c r="N47" s="143"/>
      <c r="O47" s="143"/>
      <c r="P47" s="143"/>
      <c r="Q47" s="143"/>
      <c r="R47" s="143"/>
      <c r="S47" s="143"/>
      <c r="T47" s="143"/>
      <c r="U47" s="143"/>
      <c r="X47" s="147"/>
      <c r="Y47" s="147"/>
      <c r="Z47" s="147"/>
      <c r="AA47" s="147"/>
      <c r="AB47" s="148"/>
      <c r="AC47" s="148"/>
      <c r="AD47" s="148"/>
      <c r="AE47" s="148"/>
      <c r="AF47" s="148"/>
      <c r="AG47" s="148"/>
      <c r="AH47" s="148"/>
      <c r="AI47" s="148"/>
      <c r="AJ47" s="148"/>
    </row>
    <row r="48" spans="1:36" s="146" customFormat="1" x14ac:dyDescent="0.25">
      <c r="A48" s="64"/>
      <c r="B48" s="48"/>
      <c r="C48" s="40"/>
      <c r="D48" s="41"/>
      <c r="E48" s="83"/>
      <c r="F48" s="133">
        <f t="shared" si="18"/>
        <v>0</v>
      </c>
      <c r="G48" s="138">
        <f t="shared" si="6"/>
        <v>0</v>
      </c>
      <c r="H48" s="133">
        <f t="shared" si="19"/>
        <v>0</v>
      </c>
      <c r="I48" s="209"/>
      <c r="J48" s="145"/>
      <c r="K48" s="143"/>
      <c r="L48" s="143"/>
      <c r="M48" s="164"/>
      <c r="N48" s="143"/>
      <c r="O48" s="143"/>
      <c r="P48" s="143"/>
      <c r="Q48" s="143"/>
      <c r="R48" s="143"/>
      <c r="S48" s="143"/>
      <c r="T48" s="143"/>
      <c r="U48" s="143"/>
      <c r="X48" s="147"/>
      <c r="Y48" s="147"/>
      <c r="Z48" s="147"/>
      <c r="AA48" s="147"/>
      <c r="AB48" s="148"/>
      <c r="AC48" s="148"/>
      <c r="AD48" s="148"/>
      <c r="AE48" s="148"/>
      <c r="AF48" s="148"/>
      <c r="AG48" s="148"/>
      <c r="AH48" s="148"/>
      <c r="AI48" s="148"/>
      <c r="AJ48" s="148"/>
    </row>
    <row r="49" spans="1:38" s="146" customFormat="1" x14ac:dyDescent="0.25">
      <c r="A49" s="179"/>
      <c r="B49" s="175" t="s">
        <v>56</v>
      </c>
      <c r="C49" s="180" t="s">
        <v>40</v>
      </c>
      <c r="D49" s="175"/>
      <c r="E49" s="177" t="s">
        <v>40</v>
      </c>
      <c r="F49" s="53">
        <f>SUM(F45:F48)</f>
        <v>578.47810540281159</v>
      </c>
      <c r="G49" s="198">
        <f>F49/$B$5</f>
        <v>19.282603513427052</v>
      </c>
      <c r="H49" s="134">
        <f>F49*$B$4</f>
        <v>234862.11079354151</v>
      </c>
      <c r="I49" s="209"/>
      <c r="J49" s="145"/>
      <c r="K49" s="143"/>
      <c r="L49" s="143"/>
      <c r="M49" s="164"/>
      <c r="N49" s="143"/>
      <c r="O49" s="143"/>
      <c r="P49" s="143"/>
      <c r="Q49" s="143"/>
      <c r="R49" s="143"/>
      <c r="S49" s="143"/>
      <c r="T49" s="143"/>
      <c r="U49" s="143"/>
      <c r="X49" s="147"/>
      <c r="Y49" s="147"/>
      <c r="Z49" s="147"/>
      <c r="AA49" s="147"/>
      <c r="AB49" s="148"/>
      <c r="AC49" s="148"/>
      <c r="AD49" s="148"/>
      <c r="AE49" s="148"/>
      <c r="AF49" s="148"/>
      <c r="AG49" s="148"/>
      <c r="AH49" s="148"/>
      <c r="AI49" s="148"/>
      <c r="AJ49" s="148"/>
    </row>
    <row r="50" spans="1:38" s="146" customFormat="1" x14ac:dyDescent="0.25">
      <c r="A50" s="126" t="s">
        <v>57</v>
      </c>
      <c r="B50" s="178" t="s">
        <v>73</v>
      </c>
      <c r="C50" s="137">
        <f>IF(Investeringskalkyl!$C$14="suggor",1,0)</f>
        <v>1</v>
      </c>
      <c r="D50" s="125" t="s">
        <v>41</v>
      </c>
      <c r="E50" s="138">
        <f>Investeringskalkyl!$F$72*(Investeringskalkyl!$B$23/(1-(1+Investeringskalkyl!$B$23)^(-Investeringskalkyl!$B$26)))</f>
        <v>4944.4559167751922</v>
      </c>
      <c r="F50" s="133">
        <f>C50*E50</f>
        <v>4944.4559167751922</v>
      </c>
      <c r="G50" s="138">
        <f t="shared" si="6"/>
        <v>164.81519722583974</v>
      </c>
      <c r="H50" s="133">
        <f>F50*$B$4</f>
        <v>2007449.102210728</v>
      </c>
      <c r="I50" s="209"/>
      <c r="J50" s="145"/>
      <c r="K50" s="143"/>
      <c r="L50" s="143"/>
      <c r="M50" s="164"/>
      <c r="N50" s="143"/>
      <c r="O50" s="143"/>
      <c r="P50" s="143"/>
      <c r="Q50" s="143"/>
      <c r="R50" s="143"/>
      <c r="S50" s="143"/>
      <c r="T50" s="143"/>
      <c r="U50" s="143"/>
      <c r="X50" s="147"/>
      <c r="Y50" s="147"/>
      <c r="Z50" s="147"/>
      <c r="AA50" s="147"/>
      <c r="AB50" s="148"/>
      <c r="AC50" s="148"/>
      <c r="AD50" s="148"/>
      <c r="AE50" s="148"/>
      <c r="AF50" s="148"/>
      <c r="AG50" s="148"/>
      <c r="AH50" s="148"/>
      <c r="AI50" s="148"/>
      <c r="AJ50" s="148"/>
    </row>
    <row r="51" spans="1:38" s="146" customFormat="1" x14ac:dyDescent="0.25">
      <c r="A51" s="64" t="s">
        <v>68</v>
      </c>
      <c r="B51" s="42">
        <v>25</v>
      </c>
      <c r="C51" s="266">
        <f>1/B4</f>
        <v>2.4630541871921183E-3</v>
      </c>
      <c r="D51" s="37" t="s">
        <v>43</v>
      </c>
      <c r="E51" s="50">
        <v>35000</v>
      </c>
      <c r="F51" s="133">
        <f t="shared" ref="F51:F55" si="22">C51*E51</f>
        <v>86.206896551724142</v>
      </c>
      <c r="G51" s="138">
        <f t="shared" si="6"/>
        <v>2.8735632183908049</v>
      </c>
      <c r="H51" s="133">
        <f t="shared" ref="H51:H55" si="23">F51*$B$4</f>
        <v>35000</v>
      </c>
      <c r="I51" s="209"/>
      <c r="J51" s="145"/>
      <c r="K51" s="143"/>
      <c r="L51" s="143"/>
      <c r="M51" s="164"/>
      <c r="N51" s="143"/>
      <c r="O51" s="143"/>
      <c r="P51" s="143"/>
      <c r="Q51" s="143"/>
      <c r="R51" s="143"/>
      <c r="S51" s="143"/>
      <c r="T51" s="143"/>
      <c r="U51" s="143"/>
      <c r="X51" s="147"/>
      <c r="Y51" s="147"/>
      <c r="Z51" s="147"/>
      <c r="AA51" s="147"/>
      <c r="AB51" s="148"/>
      <c r="AC51" s="148"/>
      <c r="AD51" s="148"/>
      <c r="AE51" s="148"/>
      <c r="AF51" s="148"/>
      <c r="AG51" s="148"/>
      <c r="AH51" s="148"/>
      <c r="AI51" s="148"/>
      <c r="AJ51" s="148"/>
    </row>
    <row r="52" spans="1:38" s="146" customFormat="1" x14ac:dyDescent="0.25">
      <c r="A52" s="64" t="s">
        <v>69</v>
      </c>
      <c r="B52" s="49">
        <v>26</v>
      </c>
      <c r="C52" s="40">
        <v>1</v>
      </c>
      <c r="D52" s="37" t="s">
        <v>43</v>
      </c>
      <c r="E52" s="51">
        <f>5+21</f>
        <v>26</v>
      </c>
      <c r="F52" s="133">
        <f t="shared" si="22"/>
        <v>26</v>
      </c>
      <c r="G52" s="138">
        <f t="shared" si="6"/>
        <v>0.8666666666666667</v>
      </c>
      <c r="H52" s="133">
        <f t="shared" si="23"/>
        <v>10556</v>
      </c>
      <c r="I52" s="36"/>
      <c r="J52" s="145"/>
      <c r="K52" s="145"/>
      <c r="L52" s="143"/>
      <c r="M52" s="164"/>
      <c r="N52" s="143"/>
      <c r="O52" s="143"/>
      <c r="P52" s="143"/>
      <c r="Q52" s="143"/>
      <c r="R52" s="143"/>
      <c r="S52" s="143"/>
      <c r="T52" s="143"/>
      <c r="U52" s="143"/>
      <c r="X52" s="147"/>
      <c r="Y52" s="147"/>
      <c r="Z52" s="147"/>
      <c r="AA52" s="147"/>
      <c r="AB52" s="148"/>
      <c r="AC52" s="148"/>
      <c r="AD52" s="148"/>
      <c r="AE52" s="148"/>
      <c r="AF52" s="148"/>
      <c r="AG52" s="148"/>
      <c r="AH52" s="148"/>
      <c r="AI52" s="148"/>
      <c r="AJ52" s="148"/>
    </row>
    <row r="53" spans="1:38" s="146" customFormat="1" x14ac:dyDescent="0.25">
      <c r="A53" s="64" t="s">
        <v>63</v>
      </c>
      <c r="B53" s="470">
        <v>27</v>
      </c>
      <c r="C53" s="38">
        <v>12</v>
      </c>
      <c r="D53" s="37" t="s">
        <v>58</v>
      </c>
      <c r="E53" s="52">
        <v>220</v>
      </c>
      <c r="F53" s="133">
        <f t="shared" si="22"/>
        <v>2640</v>
      </c>
      <c r="G53" s="138">
        <f t="shared" si="6"/>
        <v>88</v>
      </c>
      <c r="H53" s="133">
        <f t="shared" si="23"/>
        <v>1071840</v>
      </c>
      <c r="I53" s="209"/>
      <c r="J53" s="145"/>
      <c r="K53" s="143"/>
      <c r="L53" s="143"/>
      <c r="M53" s="164"/>
      <c r="N53" s="143"/>
      <c r="O53" s="143"/>
      <c r="P53" s="143"/>
      <c r="Q53" s="143"/>
      <c r="R53" s="143"/>
      <c r="S53" s="143"/>
      <c r="T53" s="143"/>
      <c r="U53" s="143"/>
      <c r="X53" s="147"/>
      <c r="Y53" s="147"/>
      <c r="Z53" s="147"/>
      <c r="AA53" s="147"/>
      <c r="AB53" s="148"/>
      <c r="AC53" s="148"/>
      <c r="AD53" s="148"/>
      <c r="AE53" s="148"/>
      <c r="AF53" s="148"/>
      <c r="AG53" s="148"/>
      <c r="AH53" s="148"/>
      <c r="AI53" s="148"/>
      <c r="AJ53" s="148"/>
    </row>
    <row r="54" spans="1:38" s="146" customFormat="1" x14ac:dyDescent="0.25">
      <c r="A54" s="64" t="s">
        <v>106</v>
      </c>
      <c r="B54" s="470"/>
      <c r="C54" s="38">
        <v>1</v>
      </c>
      <c r="D54" s="37" t="s">
        <v>58</v>
      </c>
      <c r="E54" s="52">
        <v>250</v>
      </c>
      <c r="F54" s="133">
        <f t="shared" ref="F54" si="24">C54*E54</f>
        <v>250</v>
      </c>
      <c r="G54" s="138">
        <f t="shared" si="6"/>
        <v>8.3333333333333339</v>
      </c>
      <c r="H54" s="133">
        <f t="shared" ref="H54" si="25">F54*$B$4</f>
        <v>101500</v>
      </c>
      <c r="I54" s="209"/>
      <c r="J54" s="145"/>
      <c r="K54" s="143"/>
      <c r="L54" s="143"/>
      <c r="M54" s="164"/>
      <c r="N54" s="143"/>
      <c r="O54" s="143"/>
      <c r="P54" s="143"/>
      <c r="Q54" s="143"/>
      <c r="R54" s="143"/>
      <c r="S54" s="143"/>
      <c r="T54" s="143"/>
      <c r="U54" s="143"/>
      <c r="X54" s="147"/>
      <c r="Y54" s="147"/>
      <c r="Z54" s="147"/>
      <c r="AA54" s="147"/>
      <c r="AB54" s="148"/>
      <c r="AC54" s="148"/>
      <c r="AD54" s="148"/>
      <c r="AE54" s="148"/>
      <c r="AF54" s="148"/>
      <c r="AG54" s="148"/>
      <c r="AH54" s="148"/>
      <c r="AI54" s="148"/>
      <c r="AJ54" s="148"/>
    </row>
    <row r="55" spans="1:38" s="146" customFormat="1" x14ac:dyDescent="0.25">
      <c r="A55" s="64"/>
      <c r="B55" s="42"/>
      <c r="C55" s="40"/>
      <c r="D55" s="37"/>
      <c r="E55" s="52"/>
      <c r="F55" s="133">
        <f t="shared" si="22"/>
        <v>0</v>
      </c>
      <c r="G55" s="138">
        <f t="shared" si="6"/>
        <v>0</v>
      </c>
      <c r="H55" s="133">
        <f t="shared" si="23"/>
        <v>0</v>
      </c>
      <c r="I55" s="209"/>
      <c r="J55" s="145"/>
      <c r="K55" s="143"/>
      <c r="L55" s="143"/>
      <c r="M55" s="164"/>
      <c r="N55" s="143"/>
      <c r="O55" s="143"/>
      <c r="P55" s="143"/>
      <c r="Q55" s="143"/>
      <c r="R55" s="143"/>
      <c r="S55" s="143"/>
      <c r="T55" s="143"/>
      <c r="U55" s="143"/>
      <c r="X55" s="147"/>
      <c r="Y55" s="147"/>
      <c r="Z55" s="147"/>
      <c r="AA55" s="147"/>
      <c r="AB55" s="148"/>
      <c r="AC55" s="148"/>
      <c r="AD55" s="148"/>
      <c r="AE55" s="148"/>
      <c r="AF55" s="148"/>
      <c r="AG55" s="148"/>
      <c r="AH55" s="148"/>
      <c r="AI55" s="148"/>
      <c r="AJ55" s="148"/>
    </row>
    <row r="56" spans="1:38" s="146" customFormat="1" x14ac:dyDescent="0.25">
      <c r="A56" s="181"/>
      <c r="B56" s="175" t="s">
        <v>59</v>
      </c>
      <c r="C56" s="176"/>
      <c r="D56" s="175"/>
      <c r="E56" s="182"/>
      <c r="F56" s="53">
        <f>SUM(F50:F55)</f>
        <v>7946.662813326916</v>
      </c>
      <c r="G56" s="198">
        <f>F56/$B$5</f>
        <v>264.88876044423051</v>
      </c>
      <c r="H56" s="134">
        <f>F56*$B$4</f>
        <v>3226345.102210728</v>
      </c>
      <c r="I56" s="36"/>
      <c r="J56" s="145"/>
      <c r="K56" s="145"/>
      <c r="L56" s="143"/>
      <c r="M56" s="164"/>
      <c r="N56" s="143"/>
      <c r="O56" s="143"/>
      <c r="P56" s="143"/>
      <c r="Q56" s="143"/>
      <c r="R56" s="143"/>
      <c r="S56" s="143"/>
      <c r="T56" s="143"/>
      <c r="U56" s="143"/>
      <c r="X56" s="147"/>
      <c r="Y56" s="147"/>
      <c r="Z56" s="147"/>
      <c r="AA56" s="147"/>
      <c r="AB56" s="148"/>
      <c r="AC56" s="148"/>
      <c r="AD56" s="148"/>
      <c r="AE56" s="148"/>
      <c r="AF56" s="148"/>
      <c r="AG56" s="148"/>
      <c r="AH56" s="148"/>
      <c r="AI56" s="148"/>
      <c r="AJ56" s="148"/>
    </row>
    <row r="57" spans="1:38" s="146" customFormat="1" x14ac:dyDescent="0.25">
      <c r="A57" s="174" t="s">
        <v>74</v>
      </c>
      <c r="B57" s="175"/>
      <c r="C57" s="176"/>
      <c r="D57" s="175"/>
      <c r="E57" s="182"/>
      <c r="F57" s="53">
        <f>$F$44+$F$49+$F$56</f>
        <v>20472.058238290465</v>
      </c>
      <c r="G57" s="198">
        <f>F57/$B$5</f>
        <v>682.40194127634879</v>
      </c>
      <c r="H57" s="134">
        <f>F57*$B$4</f>
        <v>8311655.6447459292</v>
      </c>
      <c r="I57" s="36"/>
      <c r="J57" s="145"/>
      <c r="K57" s="145"/>
      <c r="L57" s="143"/>
      <c r="M57" s="164"/>
      <c r="N57" s="143"/>
      <c r="O57" s="143"/>
      <c r="P57" s="143"/>
      <c r="Q57" s="143"/>
      <c r="R57" s="143"/>
      <c r="S57" s="143"/>
      <c r="T57" s="143"/>
      <c r="U57" s="143"/>
      <c r="X57" s="147"/>
      <c r="Y57" s="147"/>
      <c r="Z57" s="147"/>
      <c r="AA57" s="147"/>
      <c r="AB57" s="148"/>
      <c r="AC57" s="148"/>
      <c r="AD57" s="148"/>
      <c r="AE57" s="148"/>
      <c r="AF57" s="148"/>
      <c r="AG57" s="148"/>
      <c r="AH57" s="148"/>
      <c r="AI57" s="148"/>
      <c r="AJ57" s="148"/>
    </row>
    <row r="58" spans="1:38" s="146" customFormat="1" x14ac:dyDescent="0.25">
      <c r="A58" s="126"/>
      <c r="B58" s="143"/>
      <c r="C58" s="143"/>
      <c r="D58" s="143"/>
      <c r="E58" s="143"/>
      <c r="F58" s="135"/>
      <c r="G58" s="199"/>
      <c r="H58" s="135"/>
      <c r="I58" s="143"/>
      <c r="J58" s="145"/>
      <c r="K58" s="145"/>
      <c r="L58" s="143"/>
      <c r="M58" s="164"/>
      <c r="N58" s="143"/>
      <c r="O58" s="143"/>
      <c r="P58" s="143"/>
      <c r="Q58" s="143"/>
      <c r="R58" s="143"/>
      <c r="S58" s="143"/>
      <c r="T58" s="143"/>
      <c r="U58" s="143"/>
      <c r="X58" s="147"/>
      <c r="Y58" s="147"/>
      <c r="Z58" s="147"/>
      <c r="AA58" s="147"/>
      <c r="AB58" s="148"/>
      <c r="AC58" s="148"/>
      <c r="AD58" s="148"/>
      <c r="AE58" s="148"/>
      <c r="AF58" s="148"/>
      <c r="AG58" s="148"/>
      <c r="AH58" s="148"/>
      <c r="AI58" s="148"/>
      <c r="AJ58" s="148"/>
    </row>
    <row r="59" spans="1:38" s="146" customFormat="1" x14ac:dyDescent="0.25">
      <c r="A59" s="183"/>
      <c r="C59" s="143"/>
      <c r="D59" s="143"/>
      <c r="E59" s="184"/>
      <c r="F59" s="127"/>
      <c r="G59" s="199"/>
      <c r="H59" s="185"/>
      <c r="I59" s="186"/>
      <c r="J59" s="186"/>
      <c r="K59" s="143"/>
      <c r="L59" s="145"/>
      <c r="M59" s="145"/>
      <c r="N59" s="145"/>
      <c r="O59" s="164"/>
      <c r="P59" s="143"/>
      <c r="Q59" s="143"/>
      <c r="R59" s="143"/>
      <c r="S59" s="143"/>
      <c r="T59" s="143"/>
      <c r="U59" s="143"/>
      <c r="V59" s="143"/>
      <c r="W59" s="143"/>
      <c r="Z59" s="147"/>
      <c r="AA59" s="147"/>
      <c r="AB59" s="147"/>
      <c r="AC59" s="147"/>
      <c r="AD59" s="148"/>
      <c r="AE59" s="148"/>
      <c r="AF59" s="148"/>
      <c r="AG59" s="148"/>
      <c r="AH59" s="148"/>
      <c r="AI59" s="148"/>
      <c r="AJ59" s="148"/>
      <c r="AK59" s="148"/>
      <c r="AL59" s="148"/>
    </row>
    <row r="60" spans="1:38" s="146" customFormat="1" x14ac:dyDescent="0.25">
      <c r="A60" s="183"/>
      <c r="C60" s="143"/>
      <c r="D60" s="199"/>
      <c r="E60" s="186"/>
      <c r="F60" s="432"/>
      <c r="G60" s="199"/>
      <c r="H60" s="143"/>
      <c r="I60" s="187"/>
      <c r="J60" s="186"/>
      <c r="K60" s="143"/>
      <c r="L60" s="145"/>
      <c r="M60" s="145"/>
      <c r="N60" s="145"/>
      <c r="O60" s="164"/>
      <c r="P60" s="143"/>
      <c r="Q60" s="143"/>
      <c r="R60" s="143"/>
      <c r="S60" s="143"/>
      <c r="T60" s="143"/>
      <c r="U60" s="143"/>
      <c r="V60" s="143"/>
      <c r="W60" s="143"/>
      <c r="Z60" s="147"/>
      <c r="AA60" s="147"/>
      <c r="AB60" s="147"/>
      <c r="AC60" s="147"/>
      <c r="AD60" s="148"/>
      <c r="AE60" s="148"/>
      <c r="AF60" s="148"/>
      <c r="AG60" s="148"/>
      <c r="AH60" s="148"/>
      <c r="AI60" s="148"/>
      <c r="AJ60" s="148"/>
      <c r="AK60" s="148"/>
      <c r="AL60" s="148"/>
    </row>
    <row r="61" spans="1:38" s="146" customFormat="1" x14ac:dyDescent="0.25">
      <c r="A61" s="183"/>
      <c r="C61" s="143"/>
      <c r="D61" s="199"/>
      <c r="E61" s="186"/>
      <c r="F61" s="432"/>
      <c r="G61" s="199"/>
      <c r="H61" s="143"/>
      <c r="I61" s="187"/>
      <c r="J61" s="186"/>
      <c r="K61" s="143"/>
      <c r="L61" s="145"/>
      <c r="M61" s="145"/>
      <c r="N61" s="145"/>
      <c r="O61" s="164"/>
      <c r="P61" s="143"/>
      <c r="Q61" s="143"/>
      <c r="R61" s="143"/>
      <c r="S61" s="143"/>
      <c r="T61" s="143"/>
      <c r="U61" s="143"/>
      <c r="V61" s="143"/>
      <c r="W61" s="143"/>
      <c r="Z61" s="147"/>
      <c r="AA61" s="147"/>
      <c r="AB61" s="147"/>
      <c r="AC61" s="147"/>
      <c r="AD61" s="148"/>
      <c r="AE61" s="148"/>
      <c r="AF61" s="148"/>
      <c r="AG61" s="148"/>
      <c r="AH61" s="148"/>
      <c r="AI61" s="148"/>
      <c r="AJ61" s="148"/>
      <c r="AK61" s="148"/>
      <c r="AL61" s="148"/>
    </row>
    <row r="62" spans="1:38" s="146" customFormat="1" x14ac:dyDescent="0.25">
      <c r="A62" s="183"/>
      <c r="C62" s="143"/>
      <c r="D62" s="143"/>
      <c r="E62" s="184"/>
      <c r="G62" s="199"/>
      <c r="H62" s="143"/>
      <c r="I62" s="186"/>
      <c r="J62" s="186"/>
      <c r="K62" s="143"/>
      <c r="L62" s="145"/>
      <c r="M62" s="145"/>
      <c r="N62" s="145"/>
      <c r="O62" s="164"/>
      <c r="P62" s="143"/>
      <c r="Q62" s="143"/>
      <c r="R62" s="143"/>
      <c r="S62" s="143"/>
      <c r="T62" s="143"/>
      <c r="U62" s="143"/>
      <c r="V62" s="143"/>
      <c r="W62" s="143"/>
      <c r="Z62" s="147"/>
      <c r="AA62" s="147"/>
      <c r="AB62" s="147"/>
      <c r="AC62" s="147"/>
      <c r="AD62" s="148"/>
      <c r="AE62" s="148"/>
      <c r="AF62" s="148"/>
      <c r="AG62" s="148"/>
      <c r="AH62" s="148"/>
      <c r="AI62" s="148"/>
      <c r="AJ62" s="148"/>
      <c r="AK62" s="148"/>
      <c r="AL62" s="148"/>
    </row>
    <row r="63" spans="1:38" s="146" customFormat="1" x14ac:dyDescent="0.25">
      <c r="A63" s="183"/>
      <c r="C63" s="143"/>
      <c r="D63" s="143"/>
      <c r="E63" s="184"/>
      <c r="G63" s="199"/>
      <c r="H63" s="143"/>
      <c r="I63" s="186"/>
      <c r="J63" s="186"/>
      <c r="K63" s="143"/>
      <c r="L63" s="145"/>
      <c r="M63" s="145"/>
      <c r="N63" s="145"/>
      <c r="O63" s="164"/>
      <c r="P63" s="143"/>
      <c r="Q63" s="143"/>
      <c r="R63" s="143"/>
      <c r="S63" s="143"/>
      <c r="T63" s="143"/>
      <c r="U63" s="143"/>
      <c r="V63" s="143"/>
      <c r="W63" s="143"/>
      <c r="Z63" s="147"/>
      <c r="AA63" s="147"/>
      <c r="AB63" s="147"/>
      <c r="AC63" s="147"/>
      <c r="AD63" s="148"/>
      <c r="AE63" s="148"/>
      <c r="AF63" s="148"/>
      <c r="AG63" s="148"/>
      <c r="AH63" s="148"/>
      <c r="AI63" s="148"/>
      <c r="AJ63" s="148"/>
      <c r="AK63" s="148"/>
      <c r="AL63" s="148"/>
    </row>
    <row r="64" spans="1:38" s="146" customFormat="1" x14ac:dyDescent="0.25">
      <c r="A64" s="183"/>
      <c r="C64" s="143"/>
      <c r="D64" s="143"/>
      <c r="E64" s="184"/>
      <c r="G64" s="145"/>
      <c r="H64" s="143"/>
      <c r="I64" s="145"/>
      <c r="J64" s="145"/>
      <c r="K64" s="164"/>
      <c r="L64" s="143"/>
      <c r="M64" s="143"/>
      <c r="N64" s="143"/>
      <c r="O64" s="143"/>
      <c r="P64" s="143"/>
      <c r="Q64" s="143"/>
      <c r="R64" s="143"/>
      <c r="S64" s="143"/>
      <c r="V64" s="147"/>
      <c r="W64" s="147"/>
      <c r="X64" s="147"/>
      <c r="Y64" s="147"/>
      <c r="Z64" s="148"/>
      <c r="AA64" s="148"/>
      <c r="AB64" s="148"/>
      <c r="AC64" s="148"/>
      <c r="AD64" s="148"/>
      <c r="AE64" s="148"/>
      <c r="AF64" s="148"/>
      <c r="AG64" s="148"/>
      <c r="AH64" s="148"/>
    </row>
    <row r="65" spans="1:34" s="146" customFormat="1" x14ac:dyDescent="0.25">
      <c r="A65" s="183"/>
      <c r="C65" s="143"/>
      <c r="D65" s="143"/>
      <c r="E65" s="184"/>
      <c r="G65" s="145"/>
      <c r="H65" s="143"/>
      <c r="I65" s="145"/>
      <c r="J65" s="145"/>
      <c r="K65" s="164"/>
      <c r="L65" s="143"/>
      <c r="M65" s="143"/>
      <c r="N65" s="143"/>
      <c r="O65" s="143"/>
      <c r="P65" s="143"/>
      <c r="Q65" s="143"/>
      <c r="R65" s="143"/>
      <c r="S65" s="143"/>
      <c r="V65" s="147"/>
      <c r="W65" s="147"/>
      <c r="X65" s="147"/>
      <c r="Y65" s="147"/>
      <c r="Z65" s="148"/>
      <c r="AA65" s="148"/>
      <c r="AB65" s="148"/>
      <c r="AC65" s="148"/>
      <c r="AD65" s="148"/>
      <c r="AE65" s="148"/>
      <c r="AF65" s="148"/>
      <c r="AG65" s="148"/>
      <c r="AH65" s="148"/>
    </row>
    <row r="66" spans="1:34" s="146" customFormat="1" x14ac:dyDescent="0.25">
      <c r="C66" s="143"/>
      <c r="D66" s="143"/>
      <c r="E66" s="184"/>
      <c r="G66" s="145"/>
      <c r="H66" s="143"/>
      <c r="I66" s="145"/>
      <c r="J66" s="145"/>
      <c r="K66" s="164"/>
      <c r="L66" s="143"/>
      <c r="M66" s="143"/>
      <c r="N66" s="143"/>
      <c r="O66" s="143"/>
      <c r="P66" s="143"/>
      <c r="Q66" s="143"/>
      <c r="R66" s="143"/>
      <c r="S66" s="143"/>
      <c r="V66" s="147"/>
      <c r="W66" s="147"/>
      <c r="X66" s="147"/>
      <c r="Y66" s="147"/>
      <c r="Z66" s="148"/>
      <c r="AA66" s="148"/>
      <c r="AB66" s="148"/>
      <c r="AC66" s="148"/>
      <c r="AD66" s="148"/>
      <c r="AE66" s="148"/>
      <c r="AF66" s="148"/>
      <c r="AG66" s="148"/>
      <c r="AH66" s="148"/>
    </row>
    <row r="67" spans="1:34" s="146" customFormat="1" x14ac:dyDescent="0.25">
      <c r="C67" s="143"/>
      <c r="D67" s="143"/>
      <c r="E67" s="184"/>
      <c r="G67" s="145"/>
      <c r="H67" s="143"/>
      <c r="I67" s="145"/>
      <c r="J67" s="145"/>
      <c r="K67" s="164"/>
      <c r="L67" s="143"/>
      <c r="M67" s="143"/>
      <c r="N67" s="143"/>
      <c r="O67" s="143"/>
      <c r="P67" s="143"/>
      <c r="Q67" s="143"/>
      <c r="R67" s="143"/>
      <c r="S67" s="143"/>
      <c r="V67" s="147"/>
      <c r="W67" s="147"/>
      <c r="X67" s="147"/>
      <c r="Y67" s="147"/>
      <c r="Z67" s="148"/>
      <c r="AA67" s="148"/>
      <c r="AB67" s="148"/>
      <c r="AC67" s="148"/>
      <c r="AD67" s="148"/>
      <c r="AE67" s="148"/>
    </row>
    <row r="68" spans="1:34" s="146" customFormat="1" x14ac:dyDescent="0.25">
      <c r="C68" s="143"/>
      <c r="D68" s="143"/>
      <c r="E68" s="184"/>
      <c r="G68" s="145"/>
      <c r="H68" s="143"/>
      <c r="I68" s="145"/>
      <c r="J68" s="145"/>
      <c r="K68" s="164"/>
      <c r="L68" s="143"/>
      <c r="M68" s="143"/>
      <c r="N68" s="143"/>
      <c r="O68" s="143"/>
      <c r="P68" s="143"/>
      <c r="Q68" s="143"/>
      <c r="R68" s="143"/>
      <c r="S68" s="143"/>
      <c r="V68" s="147"/>
      <c r="W68" s="147"/>
      <c r="X68" s="147"/>
      <c r="Y68" s="147"/>
      <c r="Z68" s="148"/>
      <c r="AA68" s="148"/>
      <c r="AB68" s="148"/>
      <c r="AC68" s="148"/>
      <c r="AD68" s="148"/>
      <c r="AE68" s="148"/>
    </row>
    <row r="69" spans="1:34" s="146" customFormat="1" x14ac:dyDescent="0.25">
      <c r="C69" s="143"/>
      <c r="D69" s="143"/>
      <c r="E69" s="184"/>
      <c r="G69" s="145"/>
      <c r="H69" s="143"/>
      <c r="I69" s="145"/>
      <c r="J69" s="145"/>
      <c r="K69" s="164"/>
      <c r="L69" s="143"/>
      <c r="M69" s="143"/>
      <c r="N69" s="143"/>
      <c r="O69" s="143"/>
      <c r="P69" s="143"/>
      <c r="Q69" s="143"/>
      <c r="R69" s="143"/>
      <c r="S69" s="143"/>
      <c r="V69" s="147"/>
      <c r="W69" s="147"/>
      <c r="X69" s="147"/>
      <c r="Y69" s="147"/>
      <c r="Z69" s="148"/>
      <c r="AA69" s="148"/>
      <c r="AB69" s="148"/>
      <c r="AC69" s="148"/>
      <c r="AD69" s="148"/>
      <c r="AE69" s="148"/>
    </row>
    <row r="70" spans="1:34" x14ac:dyDescent="0.25">
      <c r="C70" s="143"/>
      <c r="D70" s="143"/>
      <c r="E70" s="184"/>
      <c r="F70" s="146"/>
      <c r="H70" s="143"/>
    </row>
    <row r="71" spans="1:34" x14ac:dyDescent="0.25">
      <c r="C71" s="143"/>
      <c r="D71" s="143"/>
      <c r="E71" s="184"/>
      <c r="F71" s="146"/>
      <c r="H71" s="143"/>
    </row>
    <row r="72" spans="1:34" x14ac:dyDescent="0.25">
      <c r="B72" s="188"/>
    </row>
    <row r="73" spans="1:34" x14ac:dyDescent="0.25">
      <c r="B73" s="188"/>
    </row>
    <row r="74" spans="1:34" x14ac:dyDescent="0.25">
      <c r="B74" s="188"/>
    </row>
  </sheetData>
  <mergeCells count="1">
    <mergeCell ref="B53:B54"/>
  </mergeCells>
  <printOptions horizontalCentered="1" verticalCentered="1"/>
  <pageMargins left="0.23622047244094491" right="0.23622047244094491" top="0.74803149606299213" bottom="0.74803149606299213" header="0.31496062992125984" footer="0.31496062992125984"/>
  <pageSetup paperSize="9" scale="64"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28"/>
  <sheetViews>
    <sheetView workbookViewId="0">
      <pane ySplit="1" topLeftCell="A2" activePane="bottomLeft" state="frozen"/>
      <selection pane="bottomLeft" activeCell="F3" sqref="F3"/>
    </sheetView>
  </sheetViews>
  <sheetFormatPr defaultRowHeight="14.4" x14ac:dyDescent="0.3"/>
  <cols>
    <col min="1" max="1" width="9.109375" hidden="1" customWidth="1"/>
    <col min="2" max="2" width="41.33203125" style="211" hidden="1" customWidth="1"/>
    <col min="3" max="3" width="65.109375" style="211" hidden="1" customWidth="1"/>
    <col min="4" max="4" width="33.44140625" style="213" hidden="1" customWidth="1"/>
  </cols>
  <sheetData>
    <row r="1" spans="1:4" x14ac:dyDescent="0.3">
      <c r="A1" s="437" t="s">
        <v>137</v>
      </c>
      <c r="B1" s="438" t="s">
        <v>140</v>
      </c>
      <c r="C1" s="438" t="s">
        <v>138</v>
      </c>
      <c r="D1" s="439" t="s">
        <v>146</v>
      </c>
    </row>
    <row r="2" spans="1:4" x14ac:dyDescent="0.3">
      <c r="A2" s="452">
        <v>1</v>
      </c>
      <c r="B2" s="440" t="str">
        <f>'Driftkalkyl - Smågrisar'!A18</f>
        <v>Smågrisar</v>
      </c>
      <c r="C2" s="440" t="s">
        <v>322</v>
      </c>
      <c r="D2" s="441" t="s">
        <v>201</v>
      </c>
    </row>
    <row r="3" spans="1:4" ht="28.8" x14ac:dyDescent="0.3">
      <c r="A3" s="452">
        <v>2</v>
      </c>
      <c r="B3" s="440" t="str">
        <f>'Driftkalkyl - Smågrisar'!A19</f>
        <v>Utslagssugga, kött</v>
      </c>
      <c r="C3" s="440" t="s">
        <v>199</v>
      </c>
      <c r="D3" s="441" t="s">
        <v>200</v>
      </c>
    </row>
    <row r="4" spans="1:4" ht="43.2" x14ac:dyDescent="0.3">
      <c r="A4" s="452">
        <v>3</v>
      </c>
      <c r="B4" s="440" t="str">
        <f>'Driftkalkyl - Smågrisar'!A20</f>
        <v>Utslagssugga, kassation</v>
      </c>
      <c r="C4" s="440" t="s">
        <v>203</v>
      </c>
      <c r="D4" s="441" t="s">
        <v>204</v>
      </c>
    </row>
    <row r="5" spans="1:4" x14ac:dyDescent="0.3">
      <c r="A5" s="452">
        <v>4</v>
      </c>
      <c r="B5" s="440" t="str">
        <f>'Driftkalkyl - Smågrisar'!A21</f>
        <v>Nationellt stöd</v>
      </c>
      <c r="C5" s="440" t="s">
        <v>389</v>
      </c>
      <c r="D5" s="441" t="s">
        <v>202</v>
      </c>
    </row>
    <row r="6" spans="1:4" x14ac:dyDescent="0.3">
      <c r="A6" s="452">
        <v>5</v>
      </c>
      <c r="B6" s="440" t="str">
        <f>'Driftkalkyl - Smågrisar'!A22</f>
        <v>Miljöstöd, djurens välbefinnande</v>
      </c>
      <c r="C6" s="440" t="s">
        <v>139</v>
      </c>
      <c r="D6" s="441" t="s">
        <v>202</v>
      </c>
    </row>
    <row r="7" spans="1:4" ht="43.2" x14ac:dyDescent="0.3">
      <c r="A7" s="452">
        <v>6</v>
      </c>
      <c r="B7" s="440" t="str">
        <f>'Driftkalkyl - Smågrisar'!A23</f>
        <v>Ersättning för smärtfri kastrering / vaccinering</v>
      </c>
      <c r="C7" s="440" t="s">
        <v>449</v>
      </c>
      <c r="D7" s="441" t="s">
        <v>453</v>
      </c>
    </row>
    <row r="8" spans="1:4" ht="57.6" x14ac:dyDescent="0.3">
      <c r="A8" s="452">
        <v>7</v>
      </c>
      <c r="B8" s="440" t="str">
        <f>'Driftkalkyl - Smågrisar'!A24</f>
        <v>Flytgödsel, svin, 8% ts</v>
      </c>
      <c r="C8" s="440" t="s">
        <v>318</v>
      </c>
      <c r="D8" s="441" t="s">
        <v>147</v>
      </c>
    </row>
    <row r="9" spans="1:4" ht="43.2" x14ac:dyDescent="0.3">
      <c r="A9" s="452">
        <v>8</v>
      </c>
      <c r="B9" s="440" t="str">
        <f>'Driftkalkyl - Smågrisar'!A25</f>
        <v>Djupströbädd</v>
      </c>
      <c r="C9" s="440" t="s">
        <v>316</v>
      </c>
      <c r="D9" s="441" t="s">
        <v>147</v>
      </c>
    </row>
    <row r="10" spans="1:4" ht="43.2" x14ac:dyDescent="0.3">
      <c r="A10" s="453">
        <v>9</v>
      </c>
      <c r="B10" s="440" t="str">
        <f>'Driftkalkyl - Smågrisar'!A29</f>
        <v>Rekrytering</v>
      </c>
      <c r="C10" s="440" t="s">
        <v>206</v>
      </c>
      <c r="D10" s="441" t="s">
        <v>205</v>
      </c>
    </row>
    <row r="11" spans="1:4" x14ac:dyDescent="0.3">
      <c r="A11" s="453">
        <v>10</v>
      </c>
      <c r="B11" s="440" t="str">
        <f>'Driftkalkyl - Smågrisar'!A30</f>
        <v>Suggfoder, dräktighetsfoder</v>
      </c>
      <c r="C11" s="471" t="s">
        <v>319</v>
      </c>
      <c r="D11" s="441" t="s">
        <v>320</v>
      </c>
    </row>
    <row r="12" spans="1:4" x14ac:dyDescent="0.3">
      <c r="A12" s="453">
        <v>11</v>
      </c>
      <c r="B12" s="440" t="str">
        <f>'Driftkalkyl - Smågrisar'!A31</f>
        <v>Suggfoder, digivningsfoder</v>
      </c>
      <c r="C12" s="471"/>
      <c r="D12" s="441"/>
    </row>
    <row r="13" spans="1:4" ht="28.8" x14ac:dyDescent="0.3">
      <c r="A13" s="453">
        <v>12</v>
      </c>
      <c r="B13" s="440" t="str">
        <f>'Driftkalkyl - Smågrisar'!A32</f>
        <v>Prestarter</v>
      </c>
      <c r="C13" s="440" t="s">
        <v>283</v>
      </c>
      <c r="D13" s="441" t="s">
        <v>284</v>
      </c>
    </row>
    <row r="14" spans="1:4" ht="28.8" x14ac:dyDescent="0.3">
      <c r="A14" s="453">
        <v>13</v>
      </c>
      <c r="B14" s="440" t="str">
        <f>'Driftkalkyl - Smågrisar'!A33</f>
        <v>Tillväxtfoder</v>
      </c>
      <c r="C14" s="440" t="s">
        <v>285</v>
      </c>
      <c r="D14" s="441" t="s">
        <v>321</v>
      </c>
    </row>
    <row r="15" spans="1:4" ht="72" x14ac:dyDescent="0.3">
      <c r="A15" s="453">
        <v>14</v>
      </c>
      <c r="B15" s="440" t="str">
        <f>'Driftkalkyl - Smågrisar'!A34</f>
        <v>Strömedel</v>
      </c>
      <c r="C15" s="440" t="s">
        <v>377</v>
      </c>
      <c r="D15" s="441" t="s">
        <v>376</v>
      </c>
    </row>
    <row r="16" spans="1:4" ht="43.2" x14ac:dyDescent="0.3">
      <c r="A16" s="453">
        <v>15</v>
      </c>
      <c r="B16" s="440" t="str">
        <f>'Driftkalkyl - Smågrisar'!A35</f>
        <v>El</v>
      </c>
      <c r="C16" s="440" t="s">
        <v>151</v>
      </c>
      <c r="D16" s="441" t="s">
        <v>150</v>
      </c>
    </row>
    <row r="17" spans="1:4" ht="28.8" x14ac:dyDescent="0.3">
      <c r="A17" s="453">
        <v>16</v>
      </c>
      <c r="B17" s="440" t="str">
        <f>'Driftkalkyl - Smågrisar'!A36</f>
        <v>Uppföljning av produktion, ekonomi &amp; drift</v>
      </c>
      <c r="C17" s="440" t="s">
        <v>304</v>
      </c>
      <c r="D17" s="441" t="s">
        <v>303</v>
      </c>
    </row>
    <row r="18" spans="1:4" x14ac:dyDescent="0.3">
      <c r="A18" s="453">
        <v>17</v>
      </c>
      <c r="B18" s="440" t="str">
        <f>'Driftkalkyl - Smågrisar'!A37</f>
        <v>Produktionsrådgivning</v>
      </c>
      <c r="C18" s="440"/>
      <c r="D18" s="441"/>
    </row>
    <row r="19" spans="1:4" ht="72" x14ac:dyDescent="0.3">
      <c r="A19" s="453">
        <v>18</v>
      </c>
      <c r="B19" s="440" t="str">
        <f>'Driftkalkyl - Smågrisar'!A38</f>
        <v>Semin</v>
      </c>
      <c r="C19" s="440" t="s">
        <v>288</v>
      </c>
      <c r="D19" s="441" t="s">
        <v>287</v>
      </c>
    </row>
    <row r="20" spans="1:4" ht="28.8" x14ac:dyDescent="0.3">
      <c r="A20" s="453">
        <v>19</v>
      </c>
      <c r="B20" s="440" t="str">
        <f>'Driftkalkyl - Smågrisar'!A39</f>
        <v>Veterinär &amp; medicin</v>
      </c>
      <c r="C20" s="440" t="s">
        <v>385</v>
      </c>
      <c r="D20" s="441" t="s">
        <v>134</v>
      </c>
    </row>
    <row r="21" spans="1:4" x14ac:dyDescent="0.3">
      <c r="A21" s="453">
        <v>20</v>
      </c>
      <c r="B21" s="440" t="str">
        <f>'Driftkalkyl - Smågrisar'!A40</f>
        <v>Smittsäkrad besättning</v>
      </c>
      <c r="C21" s="440" t="s">
        <v>384</v>
      </c>
      <c r="D21" s="441" t="s">
        <v>134</v>
      </c>
    </row>
    <row r="22" spans="1:4" ht="28.8" x14ac:dyDescent="0.3">
      <c r="A22" s="453">
        <v>21</v>
      </c>
      <c r="B22" s="440" t="str">
        <f>'Driftkalkyl - Smågrisar'!A41</f>
        <v>Datorer och övriga inventarier</v>
      </c>
      <c r="C22" s="440" t="s">
        <v>386</v>
      </c>
      <c r="D22" s="441" t="s">
        <v>315</v>
      </c>
    </row>
    <row r="23" spans="1:4" ht="28.8" x14ac:dyDescent="0.3">
      <c r="A23" s="453">
        <v>22</v>
      </c>
      <c r="B23" s="440" t="str">
        <f>'Driftkalkyl - Smågrisar'!A42</f>
        <v>Inhyrda maskiner</v>
      </c>
      <c r="C23" s="440" t="s">
        <v>314</v>
      </c>
      <c r="D23" s="441" t="s">
        <v>147</v>
      </c>
    </row>
    <row r="24" spans="1:4" ht="28.8" x14ac:dyDescent="0.3">
      <c r="A24" s="453">
        <v>23</v>
      </c>
      <c r="B24" s="440" t="str">
        <f>'Driftkalkyl - Smågrisar'!A43</f>
        <v>Övriga kostnader</v>
      </c>
      <c r="C24" s="440" t="s">
        <v>379</v>
      </c>
      <c r="D24" s="441"/>
    </row>
    <row r="25" spans="1:4" x14ac:dyDescent="0.3">
      <c r="A25" s="453">
        <v>24</v>
      </c>
      <c r="B25" s="440" t="str">
        <f>'Driftkalkyl - Smågrisar'!A45</f>
        <v>Byggnader, underhåll</v>
      </c>
      <c r="C25" s="440"/>
      <c r="D25" s="441"/>
    </row>
    <row r="26" spans="1:4" x14ac:dyDescent="0.3">
      <c r="A26" s="453">
        <v>25</v>
      </c>
      <c r="B26" s="440" t="str">
        <f>'Driftkalkyl - Smågrisar'!A51</f>
        <v>Försäkringar för stallbyggnad</v>
      </c>
      <c r="C26" s="440" t="s">
        <v>308</v>
      </c>
      <c r="D26" s="441" t="s">
        <v>307</v>
      </c>
    </row>
    <row r="27" spans="1:4" ht="28.8" x14ac:dyDescent="0.3">
      <c r="A27" s="453">
        <v>26</v>
      </c>
      <c r="B27" s="440" t="str">
        <f>'Driftkalkyl - Smågrisar'!A52</f>
        <v>Försäkringar för djur</v>
      </c>
      <c r="C27" s="440" t="s">
        <v>387</v>
      </c>
      <c r="D27" s="441" t="s">
        <v>388</v>
      </c>
    </row>
    <row r="28" spans="1:4" x14ac:dyDescent="0.3">
      <c r="A28" s="453">
        <v>27</v>
      </c>
      <c r="B28" s="440" t="str">
        <f>'Driftkalkyl - Smågrisar'!A53</f>
        <v>Arbete (inkl. eget arbete)</v>
      </c>
      <c r="C28" s="440"/>
      <c r="D28" s="441"/>
    </row>
  </sheetData>
  <sheetProtection algorithmName="SHA-512" hashValue="oBEE7HnT3f+uEsKAVaHHvLPCpPxBPYKRSVignIC4kKLJfLSvU1+oTlWcObcfmtEVLKDo6WW//zIWNwUuH8Sv+A==" saltValue="SWbUPSId/mC9LQajT4c/nQ==" spinCount="100000" sheet="1" objects="1" scenarios="1" selectLockedCells="1" selectUnlockedCells="1"/>
  <mergeCells count="1">
    <mergeCell ref="C11:C12"/>
  </mergeCell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opLeftCell="W1" workbookViewId="0">
      <selection sqref="A1:V1048576"/>
    </sheetView>
  </sheetViews>
  <sheetFormatPr defaultColWidth="8.6640625" defaultRowHeight="14.4" x14ac:dyDescent="0.3"/>
  <cols>
    <col min="1" max="2" width="10.5546875" style="429" hidden="1" customWidth="1"/>
    <col min="3" max="6" width="10.5546875" style="446" hidden="1" customWidth="1"/>
    <col min="7" max="7" width="10.5546875" style="430" hidden="1" customWidth="1"/>
    <col min="8" max="22" width="10.5546875" style="429" hidden="1" customWidth="1"/>
    <col min="23" max="23" width="13.6640625" style="429" customWidth="1"/>
    <col min="24" max="16384" width="8.6640625" style="429"/>
  </cols>
  <sheetData>
    <row r="1" spans="1:22" x14ac:dyDescent="0.3">
      <c r="K1" t="s">
        <v>444</v>
      </c>
      <c r="L1" s="445">
        <v>316</v>
      </c>
      <c r="M1" t="s">
        <v>445</v>
      </c>
    </row>
    <row r="2" spans="1:22" x14ac:dyDescent="0.3">
      <c r="C2" s="446" t="s">
        <v>392</v>
      </c>
      <c r="D2" s="446" t="s">
        <v>403</v>
      </c>
      <c r="E2" s="446" t="s">
        <v>404</v>
      </c>
      <c r="F2" s="446" t="s">
        <v>405</v>
      </c>
      <c r="G2" s="430" t="s">
        <v>407</v>
      </c>
      <c r="K2"/>
      <c r="L2" s="433"/>
      <c r="M2"/>
      <c r="N2"/>
      <c r="O2"/>
      <c r="P2"/>
      <c r="Q2" t="s">
        <v>452</v>
      </c>
      <c r="R2"/>
      <c r="S2"/>
      <c r="T2"/>
    </row>
    <row r="3" spans="1:22" x14ac:dyDescent="0.3">
      <c r="A3" s="429" t="s">
        <v>398</v>
      </c>
      <c r="B3" s="429" t="s">
        <v>393</v>
      </c>
      <c r="C3" s="473">
        <v>2021000</v>
      </c>
      <c r="E3" s="473">
        <v>3400000</v>
      </c>
      <c r="G3" s="430">
        <f>16000*116</f>
        <v>1856000</v>
      </c>
      <c r="K3"/>
      <c r="L3" s="433" t="s">
        <v>434</v>
      </c>
      <c r="M3" t="s">
        <v>435</v>
      </c>
      <c r="N3" t="s">
        <v>193</v>
      </c>
      <c r="O3"/>
      <c r="P3"/>
      <c r="Q3">
        <v>1.2809630000000001</v>
      </c>
      <c r="R3"/>
      <c r="S3"/>
      <c r="T3"/>
    </row>
    <row r="4" spans="1:22" x14ac:dyDescent="0.3">
      <c r="B4" s="429" t="s">
        <v>394</v>
      </c>
      <c r="C4" s="473"/>
      <c r="E4" s="473"/>
      <c r="G4" s="430">
        <f>6700*102</f>
        <v>683400</v>
      </c>
      <c r="K4" t="s">
        <v>433</v>
      </c>
      <c r="L4" s="433">
        <v>116</v>
      </c>
      <c r="M4">
        <v>16100</v>
      </c>
      <c r="N4">
        <f>L4*M4</f>
        <v>1867600</v>
      </c>
      <c r="O4" t="s">
        <v>442</v>
      </c>
      <c r="P4"/>
      <c r="Q4"/>
      <c r="R4"/>
      <c r="S4"/>
      <c r="T4"/>
    </row>
    <row r="5" spans="1:22" x14ac:dyDescent="0.3">
      <c r="B5" s="429" t="s">
        <v>395</v>
      </c>
      <c r="C5" s="449">
        <v>615000</v>
      </c>
      <c r="E5" s="473"/>
      <c r="G5" s="430">
        <f>3200*108</f>
        <v>345600</v>
      </c>
      <c r="K5" t="s">
        <v>309</v>
      </c>
      <c r="L5" s="433">
        <f>34*3</f>
        <v>102</v>
      </c>
      <c r="M5">
        <f>9800-2900</f>
        <v>6900</v>
      </c>
      <c r="N5">
        <f>L5*M5</f>
        <v>703800</v>
      </c>
      <c r="O5" t="s">
        <v>442</v>
      </c>
      <c r="P5"/>
      <c r="Q5"/>
      <c r="R5"/>
      <c r="S5"/>
      <c r="T5"/>
    </row>
    <row r="6" spans="1:22" x14ac:dyDescent="0.3">
      <c r="B6" s="429" t="s">
        <v>396</v>
      </c>
      <c r="C6" s="447"/>
      <c r="D6" s="448">
        <f>350000*Offerter!Q3</f>
        <v>448337.05000000005</v>
      </c>
      <c r="G6" s="430">
        <f>4*120000</f>
        <v>480000</v>
      </c>
      <c r="K6" t="s">
        <v>53</v>
      </c>
      <c r="L6" s="433"/>
      <c r="M6"/>
      <c r="N6" s="472">
        <v>615000</v>
      </c>
      <c r="O6" s="472" t="s">
        <v>438</v>
      </c>
      <c r="P6"/>
      <c r="Q6"/>
      <c r="R6"/>
      <c r="S6"/>
      <c r="T6"/>
      <c r="V6" s="429" t="s">
        <v>457</v>
      </c>
    </row>
    <row r="7" spans="1:22" x14ac:dyDescent="0.3">
      <c r="B7" s="429" t="s">
        <v>397</v>
      </c>
      <c r="C7" s="446">
        <f>(C3+C5)*0.2</f>
        <v>527200</v>
      </c>
      <c r="D7" s="448"/>
      <c r="E7" s="446">
        <f>E3*0.2</f>
        <v>680000</v>
      </c>
      <c r="G7" s="430">
        <f>(G3+G4+G5+G6)*0.2</f>
        <v>673000</v>
      </c>
      <c r="K7" t="s">
        <v>279</v>
      </c>
      <c r="L7" s="433"/>
      <c r="M7"/>
      <c r="N7" s="472"/>
      <c r="O7" s="472"/>
      <c r="T7" s="429" t="s">
        <v>454</v>
      </c>
      <c r="U7" s="429">
        <f>N10+N15+N11+Investeringskalkyl!F42+Investeringskalkyl!F46+Investeringskalkyl!F48+Investeringskalkyl!F59+Investeringskalkyl!F73+539600</f>
        <v>20631365.960000001</v>
      </c>
      <c r="V7" s="458">
        <f>U7/$U$10</f>
        <v>0.93271952414420767</v>
      </c>
    </row>
    <row r="8" spans="1:22" x14ac:dyDescent="0.3">
      <c r="D8" s="448"/>
      <c r="K8" t="s">
        <v>436</v>
      </c>
      <c r="L8" s="433"/>
      <c r="M8"/>
      <c r="N8">
        <f>920000*Offerter!Q3</f>
        <v>1178485.96</v>
      </c>
      <c r="O8" t="s">
        <v>441</v>
      </c>
      <c r="T8" s="429" t="s">
        <v>455</v>
      </c>
      <c r="U8" s="429">
        <f>O21+N23+Investeringskalkyl!F65</f>
        <v>188216</v>
      </c>
      <c r="V8" s="458">
        <f t="shared" ref="V8:V9" si="0">U8/$U$10</f>
        <v>8.5090215692304148E-3</v>
      </c>
    </row>
    <row r="9" spans="1:22" ht="15" thickBot="1" x14ac:dyDescent="0.35">
      <c r="A9" s="429" t="s">
        <v>13</v>
      </c>
      <c r="B9" s="429" t="s">
        <v>163</v>
      </c>
      <c r="C9" s="474">
        <v>528000</v>
      </c>
      <c r="D9" s="448"/>
      <c r="E9" s="473">
        <v>870000</v>
      </c>
      <c r="K9" s="267" t="s">
        <v>391</v>
      </c>
      <c r="L9" s="442"/>
      <c r="M9" s="267"/>
      <c r="N9" s="267">
        <v>461000</v>
      </c>
      <c r="O9" s="267" t="s">
        <v>438</v>
      </c>
      <c r="P9" s="444"/>
      <c r="T9" s="429" t="s">
        <v>456</v>
      </c>
      <c r="U9" s="429">
        <f>Investeringskalkyl!F44</f>
        <v>1300000</v>
      </c>
      <c r="V9" s="458">
        <f t="shared" si="0"/>
        <v>5.8771454286561928E-2</v>
      </c>
    </row>
    <row r="10" spans="1:22" ht="15" thickTop="1" x14ac:dyDescent="0.3">
      <c r="B10" s="429" t="s">
        <v>177</v>
      </c>
      <c r="C10" s="474"/>
      <c r="D10" s="448"/>
      <c r="E10" s="473"/>
      <c r="K10" s="443" t="s">
        <v>193</v>
      </c>
      <c r="L10" s="443"/>
      <c r="M10" s="443"/>
      <c r="N10" s="443">
        <f>SUM(N4:N9)</f>
        <v>4825885.96</v>
      </c>
      <c r="U10" s="429">
        <f>SUM(U7:U9)</f>
        <v>22119581.960000001</v>
      </c>
    </row>
    <row r="11" spans="1:22" x14ac:dyDescent="0.3">
      <c r="B11" s="429" t="s">
        <v>399</v>
      </c>
      <c r="C11" s="474">
        <v>172000</v>
      </c>
      <c r="D11" s="448"/>
      <c r="E11" s="473"/>
      <c r="K11" s="429" t="s">
        <v>447</v>
      </c>
      <c r="N11" s="429">
        <f>(N4+N5+N6)*0.2</f>
        <v>637280</v>
      </c>
    </row>
    <row r="12" spans="1:22" x14ac:dyDescent="0.3">
      <c r="B12" s="429" t="s">
        <v>396</v>
      </c>
      <c r="C12" s="474"/>
      <c r="D12" s="448"/>
      <c r="E12" s="473"/>
    </row>
    <row r="13" spans="1:22" x14ac:dyDescent="0.3">
      <c r="B13" s="429" t="s">
        <v>397</v>
      </c>
      <c r="D13" s="448"/>
      <c r="E13" s="446">
        <v>235000</v>
      </c>
      <c r="K13" t="s">
        <v>437</v>
      </c>
      <c r="L13" s="433"/>
      <c r="M13"/>
      <c r="N13">
        <v>528000</v>
      </c>
      <c r="O13" t="s">
        <v>438</v>
      </c>
    </row>
    <row r="14" spans="1:22" ht="15" thickBot="1" x14ac:dyDescent="0.35">
      <c r="D14" s="448"/>
      <c r="K14" s="267" t="s">
        <v>440</v>
      </c>
      <c r="L14" s="442"/>
      <c r="M14" s="267"/>
      <c r="N14" s="267">
        <v>172000</v>
      </c>
      <c r="O14" s="267" t="s">
        <v>438</v>
      </c>
    </row>
    <row r="15" spans="1:22" ht="15" thickTop="1" x14ac:dyDescent="0.3">
      <c r="B15" s="429" t="s">
        <v>192</v>
      </c>
      <c r="C15" s="446">
        <v>1153000</v>
      </c>
      <c r="D15" s="448">
        <f>570000*Offerter!Q3</f>
        <v>730148.91</v>
      </c>
      <c r="E15" s="446">
        <v>1342000</v>
      </c>
      <c r="N15" s="429">
        <f>SUM(N13:N14)</f>
        <v>700000</v>
      </c>
    </row>
    <row r="16" spans="1:22" x14ac:dyDescent="0.3">
      <c r="B16" s="429" t="s">
        <v>15</v>
      </c>
      <c r="E16" s="446">
        <v>675000</v>
      </c>
      <c r="F16" s="448">
        <v>539600</v>
      </c>
      <c r="K16" s="429" t="s">
        <v>447</v>
      </c>
    </row>
    <row r="17" spans="2:19" x14ac:dyDescent="0.3">
      <c r="B17" s="429" t="s">
        <v>400</v>
      </c>
      <c r="C17" s="448">
        <v>32000</v>
      </c>
      <c r="E17" s="446">
        <v>24000</v>
      </c>
      <c r="K17"/>
      <c r="L17" s="215" t="s">
        <v>419</v>
      </c>
      <c r="M17" t="s">
        <v>439</v>
      </c>
      <c r="N17" t="s">
        <v>446</v>
      </c>
      <c r="O17"/>
    </row>
    <row r="18" spans="2:19" x14ac:dyDescent="0.3">
      <c r="B18" s="429" t="s">
        <v>401</v>
      </c>
      <c r="C18" s="448">
        <v>461000</v>
      </c>
      <c r="E18" s="446">
        <v>0</v>
      </c>
      <c r="K18" t="s">
        <v>418</v>
      </c>
      <c r="L18" s="215">
        <v>10</v>
      </c>
      <c r="M18">
        <v>17</v>
      </c>
      <c r="N18">
        <f>L18*M18</f>
        <v>170</v>
      </c>
      <c r="O18"/>
    </row>
    <row r="19" spans="2:19" x14ac:dyDescent="0.3">
      <c r="B19" s="429" t="s">
        <v>402</v>
      </c>
      <c r="C19" s="446">
        <v>1076000</v>
      </c>
      <c r="K19" t="s">
        <v>420</v>
      </c>
      <c r="L19" s="215">
        <v>0.5</v>
      </c>
      <c r="M19">
        <f>116+174+70</f>
        <v>360</v>
      </c>
      <c r="N19">
        <f>L19*M19</f>
        <v>180</v>
      </c>
      <c r="O19"/>
      <c r="P19"/>
      <c r="Q19"/>
      <c r="R19"/>
      <c r="S19"/>
    </row>
    <row r="20" spans="2:19" ht="15" thickBot="1" x14ac:dyDescent="0.35">
      <c r="K20" t="s">
        <v>421</v>
      </c>
      <c r="L20" s="215">
        <v>5</v>
      </c>
      <c r="M20" s="267">
        <v>7</v>
      </c>
      <c r="N20" s="267">
        <f>L20*M20</f>
        <v>35</v>
      </c>
      <c r="O20"/>
      <c r="P20"/>
      <c r="Q20"/>
      <c r="R20"/>
      <c r="S20"/>
    </row>
    <row r="21" spans="2:19" ht="15" thickTop="1" x14ac:dyDescent="0.3">
      <c r="M21"/>
      <c r="N21">
        <f>SUM(N18:N20)</f>
        <v>385</v>
      </c>
      <c r="O21" s="212">
        <f>L1*N21</f>
        <v>121660</v>
      </c>
      <c r="P21"/>
    </row>
    <row r="22" spans="2:19" x14ac:dyDescent="0.3">
      <c r="B22" s="429" t="s">
        <v>398</v>
      </c>
      <c r="C22" s="446">
        <f>C3+C5+D6+C9+C11+D15+F16+C17+C18</f>
        <v>5547085.96</v>
      </c>
      <c r="M22"/>
      <c r="N22"/>
      <c r="O22"/>
      <c r="P22"/>
    </row>
    <row r="23" spans="2:19" x14ac:dyDescent="0.3">
      <c r="B23" s="429" t="s">
        <v>406</v>
      </c>
      <c r="C23" s="446">
        <f>(C3+C5+C9+C11+C17+C18+F16)*0.2</f>
        <v>873720</v>
      </c>
      <c r="K23" s="429" t="s">
        <v>448</v>
      </c>
      <c r="M23">
        <v>141</v>
      </c>
      <c r="N23" s="212">
        <f>M23*L1</f>
        <v>44556</v>
      </c>
      <c r="O23"/>
      <c r="P23"/>
    </row>
    <row r="24" spans="2:19" x14ac:dyDescent="0.3">
      <c r="B24" s="429" t="s">
        <v>193</v>
      </c>
      <c r="C24" s="446">
        <f>C22+C23</f>
        <v>6420805.96</v>
      </c>
      <c r="M24"/>
      <c r="N24"/>
      <c r="O24"/>
      <c r="P24"/>
    </row>
    <row r="25" spans="2:19" x14ac:dyDescent="0.3">
      <c r="K25"/>
      <c r="L25" s="215"/>
      <c r="M25"/>
      <c r="N25"/>
      <c r="O25"/>
      <c r="P25"/>
    </row>
    <row r="26" spans="2:19" x14ac:dyDescent="0.3">
      <c r="K26" t="s">
        <v>422</v>
      </c>
      <c r="L26" s="215">
        <v>10</v>
      </c>
      <c r="M26" t="s">
        <v>423</v>
      </c>
      <c r="N26"/>
      <c r="O26"/>
      <c r="P26"/>
    </row>
    <row r="27" spans="2:19" x14ac:dyDescent="0.3">
      <c r="K27" t="s">
        <v>424</v>
      </c>
      <c r="L27" s="215">
        <v>5</v>
      </c>
      <c r="M27"/>
      <c r="N27"/>
      <c r="O27"/>
      <c r="P27"/>
    </row>
    <row r="28" spans="2:19" x14ac:dyDescent="0.3">
      <c r="K28"/>
      <c r="L28" s="215"/>
      <c r="M28"/>
      <c r="N28"/>
      <c r="O28"/>
      <c r="P28"/>
    </row>
    <row r="29" spans="2:19" x14ac:dyDescent="0.3">
      <c r="K29" t="s">
        <v>425</v>
      </c>
      <c r="L29" s="215">
        <v>5</v>
      </c>
      <c r="M29"/>
      <c r="N29"/>
      <c r="O29"/>
      <c r="P29"/>
    </row>
    <row r="30" spans="2:19" x14ac:dyDescent="0.3">
      <c r="K30" t="s">
        <v>426</v>
      </c>
      <c r="L30" s="215">
        <v>5</v>
      </c>
      <c r="M30"/>
      <c r="N30"/>
      <c r="O30"/>
      <c r="P30"/>
    </row>
    <row r="31" spans="2:19" x14ac:dyDescent="0.3">
      <c r="K31" t="s">
        <v>427</v>
      </c>
      <c r="L31" s="215">
        <v>1</v>
      </c>
      <c r="M31" s="436" t="s">
        <v>428</v>
      </c>
      <c r="N31"/>
      <c r="O31"/>
      <c r="P31"/>
    </row>
  </sheetData>
  <sheetProtection algorithmName="SHA-512" hashValue="y7ej4SM3vjQQCcqIdCBpEpt02j5JCQrsziVkNrKGKcaMGj5qlLVaARJmG73Tx8+0N7YwVo+UpUxl9Onwdn3RBA==" saltValue="ln1K4AUnShi/f4GHqweAyQ==" spinCount="100000" sheet="1" selectLockedCells="1" selectUnlockedCells="1"/>
  <mergeCells count="7">
    <mergeCell ref="N6:N7"/>
    <mergeCell ref="O6:O7"/>
    <mergeCell ref="C3:C4"/>
    <mergeCell ref="E3:E5"/>
    <mergeCell ref="C9:C10"/>
    <mergeCell ref="E9:E12"/>
    <mergeCell ref="C11:C1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opLeftCell="X1" workbookViewId="0">
      <selection sqref="A1:W1048576"/>
    </sheetView>
  </sheetViews>
  <sheetFormatPr defaultRowHeight="14.4" x14ac:dyDescent="0.3"/>
  <cols>
    <col min="1" max="13" width="11" hidden="1" customWidth="1"/>
    <col min="14" max="14" width="11" style="399" hidden="1" customWidth="1"/>
    <col min="15" max="16" width="11" style="339" hidden="1" customWidth="1"/>
    <col min="17" max="23" width="11" hidden="1" customWidth="1"/>
    <col min="24" max="24" width="11" customWidth="1"/>
    <col min="256" max="256" width="5.109375" customWidth="1"/>
    <col min="257" max="257" width="6" customWidth="1"/>
    <col min="258" max="258" width="2.109375" customWidth="1"/>
    <col min="259" max="259" width="1.33203125" customWidth="1"/>
    <col min="260" max="260" width="12.5546875" customWidth="1"/>
    <col min="261" max="261" width="6.109375" customWidth="1"/>
    <col min="262" max="266" width="9" customWidth="1"/>
    <col min="268" max="268" width="11" customWidth="1"/>
    <col min="270" max="270" width="12.33203125" bestFit="1" customWidth="1"/>
    <col min="512" max="512" width="5.109375" customWidth="1"/>
    <col min="513" max="513" width="6" customWidth="1"/>
    <col min="514" max="514" width="2.109375" customWidth="1"/>
    <col min="515" max="515" width="1.33203125" customWidth="1"/>
    <col min="516" max="516" width="12.5546875" customWidth="1"/>
    <col min="517" max="517" width="6.109375" customWidth="1"/>
    <col min="518" max="522" width="9" customWidth="1"/>
    <col min="524" max="524" width="11" customWidth="1"/>
    <col min="526" max="526" width="12.33203125" bestFit="1" customWidth="1"/>
    <col min="768" max="768" width="5.109375" customWidth="1"/>
    <col min="769" max="769" width="6" customWidth="1"/>
    <col min="770" max="770" width="2.109375" customWidth="1"/>
    <col min="771" max="771" width="1.33203125" customWidth="1"/>
    <col min="772" max="772" width="12.5546875" customWidth="1"/>
    <col min="773" max="773" width="6.109375" customWidth="1"/>
    <col min="774" max="778" width="9" customWidth="1"/>
    <col min="780" max="780" width="11" customWidth="1"/>
    <col min="782" max="782" width="12.33203125" bestFit="1" customWidth="1"/>
    <col min="1024" max="1024" width="5.109375" customWidth="1"/>
    <col min="1025" max="1025" width="6" customWidth="1"/>
    <col min="1026" max="1026" width="2.109375" customWidth="1"/>
    <col min="1027" max="1027" width="1.33203125" customWidth="1"/>
    <col min="1028" max="1028" width="12.5546875" customWidth="1"/>
    <col min="1029" max="1029" width="6.109375" customWidth="1"/>
    <col min="1030" max="1034" width="9" customWidth="1"/>
    <col min="1036" max="1036" width="11" customWidth="1"/>
    <col min="1038" max="1038" width="12.33203125" bestFit="1" customWidth="1"/>
    <col min="1280" max="1280" width="5.109375" customWidth="1"/>
    <col min="1281" max="1281" width="6" customWidth="1"/>
    <col min="1282" max="1282" width="2.109375" customWidth="1"/>
    <col min="1283" max="1283" width="1.33203125" customWidth="1"/>
    <col min="1284" max="1284" width="12.5546875" customWidth="1"/>
    <col min="1285" max="1285" width="6.109375" customWidth="1"/>
    <col min="1286" max="1290" width="9" customWidth="1"/>
    <col min="1292" max="1292" width="11" customWidth="1"/>
    <col min="1294" max="1294" width="12.33203125" bestFit="1" customWidth="1"/>
    <col min="1536" max="1536" width="5.109375" customWidth="1"/>
    <col min="1537" max="1537" width="6" customWidth="1"/>
    <col min="1538" max="1538" width="2.109375" customWidth="1"/>
    <col min="1539" max="1539" width="1.33203125" customWidth="1"/>
    <col min="1540" max="1540" width="12.5546875" customWidth="1"/>
    <col min="1541" max="1541" width="6.109375" customWidth="1"/>
    <col min="1542" max="1546" width="9" customWidth="1"/>
    <col min="1548" max="1548" width="11" customWidth="1"/>
    <col min="1550" max="1550" width="12.33203125" bestFit="1" customWidth="1"/>
    <col min="1792" max="1792" width="5.109375" customWidth="1"/>
    <col min="1793" max="1793" width="6" customWidth="1"/>
    <col min="1794" max="1794" width="2.109375" customWidth="1"/>
    <col min="1795" max="1795" width="1.33203125" customWidth="1"/>
    <col min="1796" max="1796" width="12.5546875" customWidth="1"/>
    <col min="1797" max="1797" width="6.109375" customWidth="1"/>
    <col min="1798" max="1802" width="9" customWidth="1"/>
    <col min="1804" max="1804" width="11" customWidth="1"/>
    <col min="1806" max="1806" width="12.33203125" bestFit="1" customWidth="1"/>
    <col min="2048" max="2048" width="5.109375" customWidth="1"/>
    <col min="2049" max="2049" width="6" customWidth="1"/>
    <col min="2050" max="2050" width="2.109375" customWidth="1"/>
    <col min="2051" max="2051" width="1.33203125" customWidth="1"/>
    <col min="2052" max="2052" width="12.5546875" customWidth="1"/>
    <col min="2053" max="2053" width="6.109375" customWidth="1"/>
    <col min="2054" max="2058" width="9" customWidth="1"/>
    <col min="2060" max="2060" width="11" customWidth="1"/>
    <col min="2062" max="2062" width="12.33203125" bestFit="1" customWidth="1"/>
    <col min="2304" max="2304" width="5.109375" customWidth="1"/>
    <col min="2305" max="2305" width="6" customWidth="1"/>
    <col min="2306" max="2306" width="2.109375" customWidth="1"/>
    <col min="2307" max="2307" width="1.33203125" customWidth="1"/>
    <col min="2308" max="2308" width="12.5546875" customWidth="1"/>
    <col min="2309" max="2309" width="6.109375" customWidth="1"/>
    <col min="2310" max="2314" width="9" customWidth="1"/>
    <col min="2316" max="2316" width="11" customWidth="1"/>
    <col min="2318" max="2318" width="12.33203125" bestFit="1" customWidth="1"/>
    <col min="2560" max="2560" width="5.109375" customWidth="1"/>
    <col min="2561" max="2561" width="6" customWidth="1"/>
    <col min="2562" max="2562" width="2.109375" customWidth="1"/>
    <col min="2563" max="2563" width="1.33203125" customWidth="1"/>
    <col min="2564" max="2564" width="12.5546875" customWidth="1"/>
    <col min="2565" max="2565" width="6.109375" customWidth="1"/>
    <col min="2566" max="2570" width="9" customWidth="1"/>
    <col min="2572" max="2572" width="11" customWidth="1"/>
    <col min="2574" max="2574" width="12.33203125" bestFit="1" customWidth="1"/>
    <col min="2816" max="2816" width="5.109375" customWidth="1"/>
    <col min="2817" max="2817" width="6" customWidth="1"/>
    <col min="2818" max="2818" width="2.109375" customWidth="1"/>
    <col min="2819" max="2819" width="1.33203125" customWidth="1"/>
    <col min="2820" max="2820" width="12.5546875" customWidth="1"/>
    <col min="2821" max="2821" width="6.109375" customWidth="1"/>
    <col min="2822" max="2826" width="9" customWidth="1"/>
    <col min="2828" max="2828" width="11" customWidth="1"/>
    <col min="2830" max="2830" width="12.33203125" bestFit="1" customWidth="1"/>
    <col min="3072" max="3072" width="5.109375" customWidth="1"/>
    <col min="3073" max="3073" width="6" customWidth="1"/>
    <col min="3074" max="3074" width="2.109375" customWidth="1"/>
    <col min="3075" max="3075" width="1.33203125" customWidth="1"/>
    <col min="3076" max="3076" width="12.5546875" customWidth="1"/>
    <col min="3077" max="3077" width="6.109375" customWidth="1"/>
    <col min="3078" max="3082" width="9" customWidth="1"/>
    <col min="3084" max="3084" width="11" customWidth="1"/>
    <col min="3086" max="3086" width="12.33203125" bestFit="1" customWidth="1"/>
    <col min="3328" max="3328" width="5.109375" customWidth="1"/>
    <col min="3329" max="3329" width="6" customWidth="1"/>
    <col min="3330" max="3330" width="2.109375" customWidth="1"/>
    <col min="3331" max="3331" width="1.33203125" customWidth="1"/>
    <col min="3332" max="3332" width="12.5546875" customWidth="1"/>
    <col min="3333" max="3333" width="6.109375" customWidth="1"/>
    <col min="3334" max="3338" width="9" customWidth="1"/>
    <col min="3340" max="3340" width="11" customWidth="1"/>
    <col min="3342" max="3342" width="12.33203125" bestFit="1" customWidth="1"/>
    <col min="3584" max="3584" width="5.109375" customWidth="1"/>
    <col min="3585" max="3585" width="6" customWidth="1"/>
    <col min="3586" max="3586" width="2.109375" customWidth="1"/>
    <col min="3587" max="3587" width="1.33203125" customWidth="1"/>
    <col min="3588" max="3588" width="12.5546875" customWidth="1"/>
    <col min="3589" max="3589" width="6.109375" customWidth="1"/>
    <col min="3590" max="3594" width="9" customWidth="1"/>
    <col min="3596" max="3596" width="11" customWidth="1"/>
    <col min="3598" max="3598" width="12.33203125" bestFit="1" customWidth="1"/>
    <col min="3840" max="3840" width="5.109375" customWidth="1"/>
    <col min="3841" max="3841" width="6" customWidth="1"/>
    <col min="3842" max="3842" width="2.109375" customWidth="1"/>
    <col min="3843" max="3843" width="1.33203125" customWidth="1"/>
    <col min="3844" max="3844" width="12.5546875" customWidth="1"/>
    <col min="3845" max="3845" width="6.109375" customWidth="1"/>
    <col min="3846" max="3850" width="9" customWidth="1"/>
    <col min="3852" max="3852" width="11" customWidth="1"/>
    <col min="3854" max="3854" width="12.33203125" bestFit="1" customWidth="1"/>
    <col min="4096" max="4096" width="5.109375" customWidth="1"/>
    <col min="4097" max="4097" width="6" customWidth="1"/>
    <col min="4098" max="4098" width="2.109375" customWidth="1"/>
    <col min="4099" max="4099" width="1.33203125" customWidth="1"/>
    <col min="4100" max="4100" width="12.5546875" customWidth="1"/>
    <col min="4101" max="4101" width="6.109375" customWidth="1"/>
    <col min="4102" max="4106" width="9" customWidth="1"/>
    <col min="4108" max="4108" width="11" customWidth="1"/>
    <col min="4110" max="4110" width="12.33203125" bestFit="1" customWidth="1"/>
    <col min="4352" max="4352" width="5.109375" customWidth="1"/>
    <col min="4353" max="4353" width="6" customWidth="1"/>
    <col min="4354" max="4354" width="2.109375" customWidth="1"/>
    <col min="4355" max="4355" width="1.33203125" customWidth="1"/>
    <col min="4356" max="4356" width="12.5546875" customWidth="1"/>
    <col min="4357" max="4357" width="6.109375" customWidth="1"/>
    <col min="4358" max="4362" width="9" customWidth="1"/>
    <col min="4364" max="4364" width="11" customWidth="1"/>
    <col min="4366" max="4366" width="12.33203125" bestFit="1" customWidth="1"/>
    <col min="4608" max="4608" width="5.109375" customWidth="1"/>
    <col min="4609" max="4609" width="6" customWidth="1"/>
    <col min="4610" max="4610" width="2.109375" customWidth="1"/>
    <col min="4611" max="4611" width="1.33203125" customWidth="1"/>
    <col min="4612" max="4612" width="12.5546875" customWidth="1"/>
    <col min="4613" max="4613" width="6.109375" customWidth="1"/>
    <col min="4614" max="4618" width="9" customWidth="1"/>
    <col min="4620" max="4620" width="11" customWidth="1"/>
    <col min="4622" max="4622" width="12.33203125" bestFit="1" customWidth="1"/>
    <col min="4864" max="4864" width="5.109375" customWidth="1"/>
    <col min="4865" max="4865" width="6" customWidth="1"/>
    <col min="4866" max="4866" width="2.109375" customWidth="1"/>
    <col min="4867" max="4867" width="1.33203125" customWidth="1"/>
    <col min="4868" max="4868" width="12.5546875" customWidth="1"/>
    <col min="4869" max="4869" width="6.109375" customWidth="1"/>
    <col min="4870" max="4874" width="9" customWidth="1"/>
    <col min="4876" max="4876" width="11" customWidth="1"/>
    <col min="4878" max="4878" width="12.33203125" bestFit="1" customWidth="1"/>
    <col min="5120" max="5120" width="5.109375" customWidth="1"/>
    <col min="5121" max="5121" width="6" customWidth="1"/>
    <col min="5122" max="5122" width="2.109375" customWidth="1"/>
    <col min="5123" max="5123" width="1.33203125" customWidth="1"/>
    <col min="5124" max="5124" width="12.5546875" customWidth="1"/>
    <col min="5125" max="5125" width="6.109375" customWidth="1"/>
    <col min="5126" max="5130" width="9" customWidth="1"/>
    <col min="5132" max="5132" width="11" customWidth="1"/>
    <col min="5134" max="5134" width="12.33203125" bestFit="1" customWidth="1"/>
    <col min="5376" max="5376" width="5.109375" customWidth="1"/>
    <col min="5377" max="5377" width="6" customWidth="1"/>
    <col min="5378" max="5378" width="2.109375" customWidth="1"/>
    <col min="5379" max="5379" width="1.33203125" customWidth="1"/>
    <col min="5380" max="5380" width="12.5546875" customWidth="1"/>
    <col min="5381" max="5381" width="6.109375" customWidth="1"/>
    <col min="5382" max="5386" width="9" customWidth="1"/>
    <col min="5388" max="5388" width="11" customWidth="1"/>
    <col min="5390" max="5390" width="12.33203125" bestFit="1" customWidth="1"/>
    <col min="5632" max="5632" width="5.109375" customWidth="1"/>
    <col min="5633" max="5633" width="6" customWidth="1"/>
    <col min="5634" max="5634" width="2.109375" customWidth="1"/>
    <col min="5635" max="5635" width="1.33203125" customWidth="1"/>
    <col min="5636" max="5636" width="12.5546875" customWidth="1"/>
    <col min="5637" max="5637" width="6.109375" customWidth="1"/>
    <col min="5638" max="5642" width="9" customWidth="1"/>
    <col min="5644" max="5644" width="11" customWidth="1"/>
    <col min="5646" max="5646" width="12.33203125" bestFit="1" customWidth="1"/>
    <col min="5888" max="5888" width="5.109375" customWidth="1"/>
    <col min="5889" max="5889" width="6" customWidth="1"/>
    <col min="5890" max="5890" width="2.109375" customWidth="1"/>
    <col min="5891" max="5891" width="1.33203125" customWidth="1"/>
    <col min="5892" max="5892" width="12.5546875" customWidth="1"/>
    <col min="5893" max="5893" width="6.109375" customWidth="1"/>
    <col min="5894" max="5898" width="9" customWidth="1"/>
    <col min="5900" max="5900" width="11" customWidth="1"/>
    <col min="5902" max="5902" width="12.33203125" bestFit="1" customWidth="1"/>
    <col min="6144" max="6144" width="5.109375" customWidth="1"/>
    <col min="6145" max="6145" width="6" customWidth="1"/>
    <col min="6146" max="6146" width="2.109375" customWidth="1"/>
    <col min="6147" max="6147" width="1.33203125" customWidth="1"/>
    <col min="6148" max="6148" width="12.5546875" customWidth="1"/>
    <col min="6149" max="6149" width="6.109375" customWidth="1"/>
    <col min="6150" max="6154" width="9" customWidth="1"/>
    <col min="6156" max="6156" width="11" customWidth="1"/>
    <col min="6158" max="6158" width="12.33203125" bestFit="1" customWidth="1"/>
    <col min="6400" max="6400" width="5.109375" customWidth="1"/>
    <col min="6401" max="6401" width="6" customWidth="1"/>
    <col min="6402" max="6402" width="2.109375" customWidth="1"/>
    <col min="6403" max="6403" width="1.33203125" customWidth="1"/>
    <col min="6404" max="6404" width="12.5546875" customWidth="1"/>
    <col min="6405" max="6405" width="6.109375" customWidth="1"/>
    <col min="6406" max="6410" width="9" customWidth="1"/>
    <col min="6412" max="6412" width="11" customWidth="1"/>
    <col min="6414" max="6414" width="12.33203125" bestFit="1" customWidth="1"/>
    <col min="6656" max="6656" width="5.109375" customWidth="1"/>
    <col min="6657" max="6657" width="6" customWidth="1"/>
    <col min="6658" max="6658" width="2.109375" customWidth="1"/>
    <col min="6659" max="6659" width="1.33203125" customWidth="1"/>
    <col min="6660" max="6660" width="12.5546875" customWidth="1"/>
    <col min="6661" max="6661" width="6.109375" customWidth="1"/>
    <col min="6662" max="6666" width="9" customWidth="1"/>
    <col min="6668" max="6668" width="11" customWidth="1"/>
    <col min="6670" max="6670" width="12.33203125" bestFit="1" customWidth="1"/>
    <col min="6912" max="6912" width="5.109375" customWidth="1"/>
    <col min="6913" max="6913" width="6" customWidth="1"/>
    <col min="6914" max="6914" width="2.109375" customWidth="1"/>
    <col min="6915" max="6915" width="1.33203125" customWidth="1"/>
    <col min="6916" max="6916" width="12.5546875" customWidth="1"/>
    <col min="6917" max="6917" width="6.109375" customWidth="1"/>
    <col min="6918" max="6922" width="9" customWidth="1"/>
    <col min="6924" max="6924" width="11" customWidth="1"/>
    <col min="6926" max="6926" width="12.33203125" bestFit="1" customWidth="1"/>
    <col min="7168" max="7168" width="5.109375" customWidth="1"/>
    <col min="7169" max="7169" width="6" customWidth="1"/>
    <col min="7170" max="7170" width="2.109375" customWidth="1"/>
    <col min="7171" max="7171" width="1.33203125" customWidth="1"/>
    <col min="7172" max="7172" width="12.5546875" customWidth="1"/>
    <col min="7173" max="7173" width="6.109375" customWidth="1"/>
    <col min="7174" max="7178" width="9" customWidth="1"/>
    <col min="7180" max="7180" width="11" customWidth="1"/>
    <col min="7182" max="7182" width="12.33203125" bestFit="1" customWidth="1"/>
    <col min="7424" max="7424" width="5.109375" customWidth="1"/>
    <col min="7425" max="7425" width="6" customWidth="1"/>
    <col min="7426" max="7426" width="2.109375" customWidth="1"/>
    <col min="7427" max="7427" width="1.33203125" customWidth="1"/>
    <col min="7428" max="7428" width="12.5546875" customWidth="1"/>
    <col min="7429" max="7429" width="6.109375" customWidth="1"/>
    <col min="7430" max="7434" width="9" customWidth="1"/>
    <col min="7436" max="7436" width="11" customWidth="1"/>
    <col min="7438" max="7438" width="12.33203125" bestFit="1" customWidth="1"/>
    <col min="7680" max="7680" width="5.109375" customWidth="1"/>
    <col min="7681" max="7681" width="6" customWidth="1"/>
    <col min="7682" max="7682" width="2.109375" customWidth="1"/>
    <col min="7683" max="7683" width="1.33203125" customWidth="1"/>
    <col min="7684" max="7684" width="12.5546875" customWidth="1"/>
    <col min="7685" max="7685" width="6.109375" customWidth="1"/>
    <col min="7686" max="7690" width="9" customWidth="1"/>
    <col min="7692" max="7692" width="11" customWidth="1"/>
    <col min="7694" max="7694" width="12.33203125" bestFit="1" customWidth="1"/>
    <col min="7936" max="7936" width="5.109375" customWidth="1"/>
    <col min="7937" max="7937" width="6" customWidth="1"/>
    <col min="7938" max="7938" width="2.109375" customWidth="1"/>
    <col min="7939" max="7939" width="1.33203125" customWidth="1"/>
    <col min="7940" max="7940" width="12.5546875" customWidth="1"/>
    <col min="7941" max="7941" width="6.109375" customWidth="1"/>
    <col min="7942" max="7946" width="9" customWidth="1"/>
    <col min="7948" max="7948" width="11" customWidth="1"/>
    <col min="7950" max="7950" width="12.33203125" bestFit="1" customWidth="1"/>
    <col min="8192" max="8192" width="5.109375" customWidth="1"/>
    <col min="8193" max="8193" width="6" customWidth="1"/>
    <col min="8194" max="8194" width="2.109375" customWidth="1"/>
    <col min="8195" max="8195" width="1.33203125" customWidth="1"/>
    <col min="8196" max="8196" width="12.5546875" customWidth="1"/>
    <col min="8197" max="8197" width="6.109375" customWidth="1"/>
    <col min="8198" max="8202" width="9" customWidth="1"/>
    <col min="8204" max="8204" width="11" customWidth="1"/>
    <col min="8206" max="8206" width="12.33203125" bestFit="1" customWidth="1"/>
    <col min="8448" max="8448" width="5.109375" customWidth="1"/>
    <col min="8449" max="8449" width="6" customWidth="1"/>
    <col min="8450" max="8450" width="2.109375" customWidth="1"/>
    <col min="8451" max="8451" width="1.33203125" customWidth="1"/>
    <col min="8452" max="8452" width="12.5546875" customWidth="1"/>
    <col min="8453" max="8453" width="6.109375" customWidth="1"/>
    <col min="8454" max="8458" width="9" customWidth="1"/>
    <col min="8460" max="8460" width="11" customWidth="1"/>
    <col min="8462" max="8462" width="12.33203125" bestFit="1" customWidth="1"/>
    <col min="8704" max="8704" width="5.109375" customWidth="1"/>
    <col min="8705" max="8705" width="6" customWidth="1"/>
    <col min="8706" max="8706" width="2.109375" customWidth="1"/>
    <col min="8707" max="8707" width="1.33203125" customWidth="1"/>
    <col min="8708" max="8708" width="12.5546875" customWidth="1"/>
    <col min="8709" max="8709" width="6.109375" customWidth="1"/>
    <col min="8710" max="8714" width="9" customWidth="1"/>
    <col min="8716" max="8716" width="11" customWidth="1"/>
    <col min="8718" max="8718" width="12.33203125" bestFit="1" customWidth="1"/>
    <col min="8960" max="8960" width="5.109375" customWidth="1"/>
    <col min="8961" max="8961" width="6" customWidth="1"/>
    <col min="8962" max="8962" width="2.109375" customWidth="1"/>
    <col min="8963" max="8963" width="1.33203125" customWidth="1"/>
    <col min="8964" max="8964" width="12.5546875" customWidth="1"/>
    <col min="8965" max="8965" width="6.109375" customWidth="1"/>
    <col min="8966" max="8970" width="9" customWidth="1"/>
    <col min="8972" max="8972" width="11" customWidth="1"/>
    <col min="8974" max="8974" width="12.33203125" bestFit="1" customWidth="1"/>
    <col min="9216" max="9216" width="5.109375" customWidth="1"/>
    <col min="9217" max="9217" width="6" customWidth="1"/>
    <col min="9218" max="9218" width="2.109375" customWidth="1"/>
    <col min="9219" max="9219" width="1.33203125" customWidth="1"/>
    <col min="9220" max="9220" width="12.5546875" customWidth="1"/>
    <col min="9221" max="9221" width="6.109375" customWidth="1"/>
    <col min="9222" max="9226" width="9" customWidth="1"/>
    <col min="9228" max="9228" width="11" customWidth="1"/>
    <col min="9230" max="9230" width="12.33203125" bestFit="1" customWidth="1"/>
    <col min="9472" max="9472" width="5.109375" customWidth="1"/>
    <col min="9473" max="9473" width="6" customWidth="1"/>
    <col min="9474" max="9474" width="2.109375" customWidth="1"/>
    <col min="9475" max="9475" width="1.33203125" customWidth="1"/>
    <col min="9476" max="9476" width="12.5546875" customWidth="1"/>
    <col min="9477" max="9477" width="6.109375" customWidth="1"/>
    <col min="9478" max="9482" width="9" customWidth="1"/>
    <col min="9484" max="9484" width="11" customWidth="1"/>
    <col min="9486" max="9486" width="12.33203125" bestFit="1" customWidth="1"/>
    <col min="9728" max="9728" width="5.109375" customWidth="1"/>
    <col min="9729" max="9729" width="6" customWidth="1"/>
    <col min="9730" max="9730" width="2.109375" customWidth="1"/>
    <col min="9731" max="9731" width="1.33203125" customWidth="1"/>
    <col min="9732" max="9732" width="12.5546875" customWidth="1"/>
    <col min="9733" max="9733" width="6.109375" customWidth="1"/>
    <col min="9734" max="9738" width="9" customWidth="1"/>
    <col min="9740" max="9740" width="11" customWidth="1"/>
    <col min="9742" max="9742" width="12.33203125" bestFit="1" customWidth="1"/>
    <col min="9984" max="9984" width="5.109375" customWidth="1"/>
    <col min="9985" max="9985" width="6" customWidth="1"/>
    <col min="9986" max="9986" width="2.109375" customWidth="1"/>
    <col min="9987" max="9987" width="1.33203125" customWidth="1"/>
    <col min="9988" max="9988" width="12.5546875" customWidth="1"/>
    <col min="9989" max="9989" width="6.109375" customWidth="1"/>
    <col min="9990" max="9994" width="9" customWidth="1"/>
    <col min="9996" max="9996" width="11" customWidth="1"/>
    <col min="9998" max="9998" width="12.33203125" bestFit="1" customWidth="1"/>
    <col min="10240" max="10240" width="5.109375" customWidth="1"/>
    <col min="10241" max="10241" width="6" customWidth="1"/>
    <col min="10242" max="10242" width="2.109375" customWidth="1"/>
    <col min="10243" max="10243" width="1.33203125" customWidth="1"/>
    <col min="10244" max="10244" width="12.5546875" customWidth="1"/>
    <col min="10245" max="10245" width="6.109375" customWidth="1"/>
    <col min="10246" max="10250" width="9" customWidth="1"/>
    <col min="10252" max="10252" width="11" customWidth="1"/>
    <col min="10254" max="10254" width="12.33203125" bestFit="1" customWidth="1"/>
    <col min="10496" max="10496" width="5.109375" customWidth="1"/>
    <col min="10497" max="10497" width="6" customWidth="1"/>
    <col min="10498" max="10498" width="2.109375" customWidth="1"/>
    <col min="10499" max="10499" width="1.33203125" customWidth="1"/>
    <col min="10500" max="10500" width="12.5546875" customWidth="1"/>
    <col min="10501" max="10501" width="6.109375" customWidth="1"/>
    <col min="10502" max="10506" width="9" customWidth="1"/>
    <col min="10508" max="10508" width="11" customWidth="1"/>
    <col min="10510" max="10510" width="12.33203125" bestFit="1" customWidth="1"/>
    <col min="10752" max="10752" width="5.109375" customWidth="1"/>
    <col min="10753" max="10753" width="6" customWidth="1"/>
    <col min="10754" max="10754" width="2.109375" customWidth="1"/>
    <col min="10755" max="10755" width="1.33203125" customWidth="1"/>
    <col min="10756" max="10756" width="12.5546875" customWidth="1"/>
    <col min="10757" max="10757" width="6.109375" customWidth="1"/>
    <col min="10758" max="10762" width="9" customWidth="1"/>
    <col min="10764" max="10764" width="11" customWidth="1"/>
    <col min="10766" max="10766" width="12.33203125" bestFit="1" customWidth="1"/>
    <col min="11008" max="11008" width="5.109375" customWidth="1"/>
    <col min="11009" max="11009" width="6" customWidth="1"/>
    <col min="11010" max="11010" width="2.109375" customWidth="1"/>
    <col min="11011" max="11011" width="1.33203125" customWidth="1"/>
    <col min="11012" max="11012" width="12.5546875" customWidth="1"/>
    <col min="11013" max="11013" width="6.109375" customWidth="1"/>
    <col min="11014" max="11018" width="9" customWidth="1"/>
    <col min="11020" max="11020" width="11" customWidth="1"/>
    <col min="11022" max="11022" width="12.33203125" bestFit="1" customWidth="1"/>
    <col min="11264" max="11264" width="5.109375" customWidth="1"/>
    <col min="11265" max="11265" width="6" customWidth="1"/>
    <col min="11266" max="11266" width="2.109375" customWidth="1"/>
    <col min="11267" max="11267" width="1.33203125" customWidth="1"/>
    <col min="11268" max="11268" width="12.5546875" customWidth="1"/>
    <col min="11269" max="11269" width="6.109375" customWidth="1"/>
    <col min="11270" max="11274" width="9" customWidth="1"/>
    <col min="11276" max="11276" width="11" customWidth="1"/>
    <col min="11278" max="11278" width="12.33203125" bestFit="1" customWidth="1"/>
    <col min="11520" max="11520" width="5.109375" customWidth="1"/>
    <col min="11521" max="11521" width="6" customWidth="1"/>
    <col min="11522" max="11522" width="2.109375" customWidth="1"/>
    <col min="11523" max="11523" width="1.33203125" customWidth="1"/>
    <col min="11524" max="11524" width="12.5546875" customWidth="1"/>
    <col min="11525" max="11525" width="6.109375" customWidth="1"/>
    <col min="11526" max="11530" width="9" customWidth="1"/>
    <col min="11532" max="11532" width="11" customWidth="1"/>
    <col min="11534" max="11534" width="12.33203125" bestFit="1" customWidth="1"/>
    <col min="11776" max="11776" width="5.109375" customWidth="1"/>
    <col min="11777" max="11777" width="6" customWidth="1"/>
    <col min="11778" max="11778" width="2.109375" customWidth="1"/>
    <col min="11779" max="11779" width="1.33203125" customWidth="1"/>
    <col min="11780" max="11780" width="12.5546875" customWidth="1"/>
    <col min="11781" max="11781" width="6.109375" customWidth="1"/>
    <col min="11782" max="11786" width="9" customWidth="1"/>
    <col min="11788" max="11788" width="11" customWidth="1"/>
    <col min="11790" max="11790" width="12.33203125" bestFit="1" customWidth="1"/>
    <col min="12032" max="12032" width="5.109375" customWidth="1"/>
    <col min="12033" max="12033" width="6" customWidth="1"/>
    <col min="12034" max="12034" width="2.109375" customWidth="1"/>
    <col min="12035" max="12035" width="1.33203125" customWidth="1"/>
    <col min="12036" max="12036" width="12.5546875" customWidth="1"/>
    <col min="12037" max="12037" width="6.109375" customWidth="1"/>
    <col min="12038" max="12042" width="9" customWidth="1"/>
    <col min="12044" max="12044" width="11" customWidth="1"/>
    <col min="12046" max="12046" width="12.33203125" bestFit="1" customWidth="1"/>
    <col min="12288" max="12288" width="5.109375" customWidth="1"/>
    <col min="12289" max="12289" width="6" customWidth="1"/>
    <col min="12290" max="12290" width="2.109375" customWidth="1"/>
    <col min="12291" max="12291" width="1.33203125" customWidth="1"/>
    <col min="12292" max="12292" width="12.5546875" customWidth="1"/>
    <col min="12293" max="12293" width="6.109375" customWidth="1"/>
    <col min="12294" max="12298" width="9" customWidth="1"/>
    <col min="12300" max="12300" width="11" customWidth="1"/>
    <col min="12302" max="12302" width="12.33203125" bestFit="1" customWidth="1"/>
    <col min="12544" max="12544" width="5.109375" customWidth="1"/>
    <col min="12545" max="12545" width="6" customWidth="1"/>
    <col min="12546" max="12546" width="2.109375" customWidth="1"/>
    <col min="12547" max="12547" width="1.33203125" customWidth="1"/>
    <col min="12548" max="12548" width="12.5546875" customWidth="1"/>
    <col min="12549" max="12549" width="6.109375" customWidth="1"/>
    <col min="12550" max="12554" width="9" customWidth="1"/>
    <col min="12556" max="12556" width="11" customWidth="1"/>
    <col min="12558" max="12558" width="12.33203125" bestFit="1" customWidth="1"/>
    <col min="12800" max="12800" width="5.109375" customWidth="1"/>
    <col min="12801" max="12801" width="6" customWidth="1"/>
    <col min="12802" max="12802" width="2.109375" customWidth="1"/>
    <col min="12803" max="12803" width="1.33203125" customWidth="1"/>
    <col min="12804" max="12804" width="12.5546875" customWidth="1"/>
    <col min="12805" max="12805" width="6.109375" customWidth="1"/>
    <col min="12806" max="12810" width="9" customWidth="1"/>
    <col min="12812" max="12812" width="11" customWidth="1"/>
    <col min="12814" max="12814" width="12.33203125" bestFit="1" customWidth="1"/>
    <col min="13056" max="13056" width="5.109375" customWidth="1"/>
    <col min="13057" max="13057" width="6" customWidth="1"/>
    <col min="13058" max="13058" width="2.109375" customWidth="1"/>
    <col min="13059" max="13059" width="1.33203125" customWidth="1"/>
    <col min="13060" max="13060" width="12.5546875" customWidth="1"/>
    <col min="13061" max="13061" width="6.109375" customWidth="1"/>
    <col min="13062" max="13066" width="9" customWidth="1"/>
    <col min="13068" max="13068" width="11" customWidth="1"/>
    <col min="13070" max="13070" width="12.33203125" bestFit="1" customWidth="1"/>
    <col min="13312" max="13312" width="5.109375" customWidth="1"/>
    <col min="13313" max="13313" width="6" customWidth="1"/>
    <col min="13314" max="13314" width="2.109375" customWidth="1"/>
    <col min="13315" max="13315" width="1.33203125" customWidth="1"/>
    <col min="13316" max="13316" width="12.5546875" customWidth="1"/>
    <col min="13317" max="13317" width="6.109375" customWidth="1"/>
    <col min="13318" max="13322" width="9" customWidth="1"/>
    <col min="13324" max="13324" width="11" customWidth="1"/>
    <col min="13326" max="13326" width="12.33203125" bestFit="1" customWidth="1"/>
    <col min="13568" max="13568" width="5.109375" customWidth="1"/>
    <col min="13569" max="13569" width="6" customWidth="1"/>
    <col min="13570" max="13570" width="2.109375" customWidth="1"/>
    <col min="13571" max="13571" width="1.33203125" customWidth="1"/>
    <col min="13572" max="13572" width="12.5546875" customWidth="1"/>
    <col min="13573" max="13573" width="6.109375" customWidth="1"/>
    <col min="13574" max="13578" width="9" customWidth="1"/>
    <col min="13580" max="13580" width="11" customWidth="1"/>
    <col min="13582" max="13582" width="12.33203125" bestFit="1" customWidth="1"/>
    <col min="13824" max="13824" width="5.109375" customWidth="1"/>
    <col min="13825" max="13825" width="6" customWidth="1"/>
    <col min="13826" max="13826" width="2.109375" customWidth="1"/>
    <col min="13827" max="13827" width="1.33203125" customWidth="1"/>
    <col min="13828" max="13828" width="12.5546875" customWidth="1"/>
    <col min="13829" max="13829" width="6.109375" customWidth="1"/>
    <col min="13830" max="13834" width="9" customWidth="1"/>
    <col min="13836" max="13836" width="11" customWidth="1"/>
    <col min="13838" max="13838" width="12.33203125" bestFit="1" customWidth="1"/>
    <col min="14080" max="14080" width="5.109375" customWidth="1"/>
    <col min="14081" max="14081" width="6" customWidth="1"/>
    <col min="14082" max="14082" width="2.109375" customWidth="1"/>
    <col min="14083" max="14083" width="1.33203125" customWidth="1"/>
    <col min="14084" max="14084" width="12.5546875" customWidth="1"/>
    <col min="14085" max="14085" width="6.109375" customWidth="1"/>
    <col min="14086" max="14090" width="9" customWidth="1"/>
    <col min="14092" max="14092" width="11" customWidth="1"/>
    <col min="14094" max="14094" width="12.33203125" bestFit="1" customWidth="1"/>
    <col min="14336" max="14336" width="5.109375" customWidth="1"/>
    <col min="14337" max="14337" width="6" customWidth="1"/>
    <col min="14338" max="14338" width="2.109375" customWidth="1"/>
    <col min="14339" max="14339" width="1.33203125" customWidth="1"/>
    <col min="14340" max="14340" width="12.5546875" customWidth="1"/>
    <col min="14341" max="14341" width="6.109375" customWidth="1"/>
    <col min="14342" max="14346" width="9" customWidth="1"/>
    <col min="14348" max="14348" width="11" customWidth="1"/>
    <col min="14350" max="14350" width="12.33203125" bestFit="1" customWidth="1"/>
    <col min="14592" max="14592" width="5.109375" customWidth="1"/>
    <col min="14593" max="14593" width="6" customWidth="1"/>
    <col min="14594" max="14594" width="2.109375" customWidth="1"/>
    <col min="14595" max="14595" width="1.33203125" customWidth="1"/>
    <col min="14596" max="14596" width="12.5546875" customWidth="1"/>
    <col min="14597" max="14597" width="6.109375" customWidth="1"/>
    <col min="14598" max="14602" width="9" customWidth="1"/>
    <col min="14604" max="14604" width="11" customWidth="1"/>
    <col min="14606" max="14606" width="12.33203125" bestFit="1" customWidth="1"/>
    <col min="14848" max="14848" width="5.109375" customWidth="1"/>
    <col min="14849" max="14849" width="6" customWidth="1"/>
    <col min="14850" max="14850" width="2.109375" customWidth="1"/>
    <col min="14851" max="14851" width="1.33203125" customWidth="1"/>
    <col min="14852" max="14852" width="12.5546875" customWidth="1"/>
    <col min="14853" max="14853" width="6.109375" customWidth="1"/>
    <col min="14854" max="14858" width="9" customWidth="1"/>
    <col min="14860" max="14860" width="11" customWidth="1"/>
    <col min="14862" max="14862" width="12.33203125" bestFit="1" customWidth="1"/>
    <col min="15104" max="15104" width="5.109375" customWidth="1"/>
    <col min="15105" max="15105" width="6" customWidth="1"/>
    <col min="15106" max="15106" width="2.109375" customWidth="1"/>
    <col min="15107" max="15107" width="1.33203125" customWidth="1"/>
    <col min="15108" max="15108" width="12.5546875" customWidth="1"/>
    <col min="15109" max="15109" width="6.109375" customWidth="1"/>
    <col min="15110" max="15114" width="9" customWidth="1"/>
    <col min="15116" max="15116" width="11" customWidth="1"/>
    <col min="15118" max="15118" width="12.33203125" bestFit="1" customWidth="1"/>
    <col min="15360" max="15360" width="5.109375" customWidth="1"/>
    <col min="15361" max="15361" width="6" customWidth="1"/>
    <col min="15362" max="15362" width="2.109375" customWidth="1"/>
    <col min="15363" max="15363" width="1.33203125" customWidth="1"/>
    <col min="15364" max="15364" width="12.5546875" customWidth="1"/>
    <col min="15365" max="15365" width="6.109375" customWidth="1"/>
    <col min="15366" max="15370" width="9" customWidth="1"/>
    <col min="15372" max="15372" width="11" customWidth="1"/>
    <col min="15374" max="15374" width="12.33203125" bestFit="1" customWidth="1"/>
    <col min="15616" max="15616" width="5.109375" customWidth="1"/>
    <col min="15617" max="15617" width="6" customWidth="1"/>
    <col min="15618" max="15618" width="2.109375" customWidth="1"/>
    <col min="15619" max="15619" width="1.33203125" customWidth="1"/>
    <col min="15620" max="15620" width="12.5546875" customWidth="1"/>
    <col min="15621" max="15621" width="6.109375" customWidth="1"/>
    <col min="15622" max="15626" width="9" customWidth="1"/>
    <col min="15628" max="15628" width="11" customWidth="1"/>
    <col min="15630" max="15630" width="12.33203125" bestFit="1" customWidth="1"/>
    <col min="15872" max="15872" width="5.109375" customWidth="1"/>
    <col min="15873" max="15873" width="6" customWidth="1"/>
    <col min="15874" max="15874" width="2.109375" customWidth="1"/>
    <col min="15875" max="15875" width="1.33203125" customWidth="1"/>
    <col min="15876" max="15876" width="12.5546875" customWidth="1"/>
    <col min="15877" max="15877" width="6.109375" customWidth="1"/>
    <col min="15878" max="15882" width="9" customWidth="1"/>
    <col min="15884" max="15884" width="11" customWidth="1"/>
    <col min="15886" max="15886" width="12.33203125" bestFit="1" customWidth="1"/>
    <col min="16128" max="16128" width="5.109375" customWidth="1"/>
    <col min="16129" max="16129" width="6" customWidth="1"/>
    <col min="16130" max="16130" width="2.109375" customWidth="1"/>
    <col min="16131" max="16131" width="1.33203125" customWidth="1"/>
    <col min="16132" max="16132" width="12.5546875" customWidth="1"/>
    <col min="16133" max="16133" width="6.109375" customWidth="1"/>
    <col min="16134" max="16138" width="9" customWidth="1"/>
    <col min="16140" max="16140" width="11" customWidth="1"/>
    <col min="16142" max="16142" width="12.33203125" bestFit="1" customWidth="1"/>
  </cols>
  <sheetData>
    <row r="1" spans="1:23" ht="65.25" customHeight="1" x14ac:dyDescent="0.3">
      <c r="A1" t="s">
        <v>343</v>
      </c>
      <c r="B1" s="476" t="s">
        <v>344</v>
      </c>
      <c r="C1" s="476"/>
      <c r="D1" s="476"/>
      <c r="E1" s="476"/>
      <c r="F1" s="476"/>
      <c r="G1" s="476"/>
      <c r="H1" s="476"/>
      <c r="I1" s="476"/>
      <c r="J1" s="476"/>
      <c r="S1" s="489" t="s">
        <v>373</v>
      </c>
      <c r="T1" s="489"/>
      <c r="U1" s="489"/>
    </row>
    <row r="3" spans="1:23" ht="17.399999999999999" x14ac:dyDescent="0.3">
      <c r="B3" s="341" t="s">
        <v>323</v>
      </c>
      <c r="C3" s="341"/>
      <c r="D3" s="341"/>
    </row>
    <row r="4" spans="1:23" ht="7.5" customHeight="1" x14ac:dyDescent="0.3"/>
    <row r="5" spans="1:23" ht="51" customHeight="1" x14ac:dyDescent="0.3">
      <c r="B5" s="493" t="s">
        <v>324</v>
      </c>
      <c r="C5" s="493"/>
      <c r="D5" s="493"/>
      <c r="E5" s="494"/>
      <c r="F5" s="494"/>
      <c r="G5" s="494"/>
      <c r="H5" s="494"/>
      <c r="I5" s="494"/>
      <c r="J5" s="494"/>
      <c r="K5" s="495"/>
      <c r="N5" s="404"/>
      <c r="O5" s="487" t="s">
        <v>378</v>
      </c>
      <c r="P5" s="487" t="s">
        <v>219</v>
      </c>
      <c r="S5" s="415" t="s">
        <v>355</v>
      </c>
    </row>
    <row r="6" spans="1:23" ht="5.25" customHeight="1" thickBot="1" x14ac:dyDescent="0.35">
      <c r="B6" s="342"/>
      <c r="C6" s="342"/>
      <c r="D6" s="342"/>
      <c r="E6" s="342"/>
      <c r="F6" s="342"/>
      <c r="G6" s="342"/>
      <c r="H6" s="342"/>
      <c r="I6" s="342"/>
      <c r="J6" s="342"/>
      <c r="K6" s="342"/>
      <c r="N6" s="404"/>
      <c r="O6" s="487"/>
      <c r="P6" s="487"/>
      <c r="S6" s="215"/>
    </row>
    <row r="7" spans="1:23" ht="15" customHeight="1" x14ac:dyDescent="0.3">
      <c r="B7" s="343"/>
      <c r="C7" s="343"/>
      <c r="D7" s="343"/>
      <c r="E7" s="344"/>
      <c r="F7" s="496" t="s">
        <v>325</v>
      </c>
      <c r="G7" s="497"/>
      <c r="H7" s="497"/>
      <c r="I7" s="497"/>
      <c r="J7" s="497"/>
      <c r="K7" s="497"/>
      <c r="L7" s="345"/>
      <c r="N7" s="414"/>
      <c r="O7" s="488"/>
      <c r="P7" s="488"/>
      <c r="S7" s="417" t="s">
        <v>356</v>
      </c>
      <c r="T7" s="417" t="s">
        <v>357</v>
      </c>
      <c r="U7" s="417" t="s">
        <v>358</v>
      </c>
    </row>
    <row r="8" spans="1:23" ht="15" customHeight="1" x14ac:dyDescent="0.3">
      <c r="B8" s="348"/>
      <c r="C8" s="348"/>
      <c r="D8" s="348"/>
      <c r="E8" s="349"/>
      <c r="F8" s="350" t="s">
        <v>326</v>
      </c>
      <c r="G8" s="350" t="s">
        <v>327</v>
      </c>
      <c r="H8" s="350" t="s">
        <v>328</v>
      </c>
      <c r="I8" s="350" t="s">
        <v>329</v>
      </c>
      <c r="J8" s="350" t="s">
        <v>330</v>
      </c>
      <c r="K8" s="350" t="s">
        <v>331</v>
      </c>
      <c r="L8" s="351"/>
      <c r="N8" s="400" t="s">
        <v>192</v>
      </c>
      <c r="O8" s="339">
        <v>13</v>
      </c>
      <c r="S8" s="416" t="s">
        <v>359</v>
      </c>
      <c r="T8" s="418">
        <v>0.06</v>
      </c>
      <c r="U8" s="416">
        <v>4000</v>
      </c>
      <c r="V8" t="s">
        <v>51</v>
      </c>
      <c r="W8" t="s">
        <v>374</v>
      </c>
    </row>
    <row r="9" spans="1:23" ht="16.5" customHeight="1" x14ac:dyDescent="0.3">
      <c r="B9" s="353">
        <v>2007</v>
      </c>
      <c r="C9" s="498" t="s">
        <v>332</v>
      </c>
      <c r="D9" s="498"/>
      <c r="E9" s="498"/>
      <c r="F9" s="354">
        <v>89</v>
      </c>
      <c r="G9" s="355">
        <v>67</v>
      </c>
      <c r="H9" s="356">
        <v>57</v>
      </c>
      <c r="I9">
        <v>48</v>
      </c>
      <c r="J9" s="357">
        <v>44</v>
      </c>
      <c r="K9" s="354">
        <v>43</v>
      </c>
      <c r="L9" s="358"/>
      <c r="N9" s="399" t="s">
        <v>13</v>
      </c>
      <c r="O9" s="339">
        <v>70</v>
      </c>
      <c r="S9" s="416" t="s">
        <v>360</v>
      </c>
      <c r="T9" s="416" t="s">
        <v>361</v>
      </c>
      <c r="U9" s="416">
        <v>1000</v>
      </c>
      <c r="V9" t="s">
        <v>51</v>
      </c>
    </row>
    <row r="10" spans="1:23" ht="13.5" customHeight="1" x14ac:dyDescent="0.3">
      <c r="B10" s="353"/>
      <c r="C10" s="485" t="s">
        <v>333</v>
      </c>
      <c r="D10" s="485"/>
      <c r="E10" s="485"/>
      <c r="F10" s="354">
        <v>89</v>
      </c>
      <c r="G10" s="355">
        <v>70</v>
      </c>
      <c r="H10" s="356">
        <v>61</v>
      </c>
      <c r="I10">
        <v>54</v>
      </c>
      <c r="J10" s="357">
        <v>49</v>
      </c>
      <c r="K10" s="354">
        <v>48</v>
      </c>
      <c r="L10" s="358"/>
      <c r="N10" s="399" t="s">
        <v>15</v>
      </c>
      <c r="O10" s="339">
        <v>12</v>
      </c>
      <c r="S10" s="419" t="s">
        <v>375</v>
      </c>
      <c r="T10" s="419" t="s">
        <v>362</v>
      </c>
      <c r="U10" s="419">
        <v>800</v>
      </c>
      <c r="V10" s="420" t="s">
        <v>51</v>
      </c>
      <c r="W10" s="419" t="s">
        <v>374</v>
      </c>
    </row>
    <row r="11" spans="1:23" ht="15" customHeight="1" x14ac:dyDescent="0.3">
      <c r="B11" s="353">
        <v>2008</v>
      </c>
      <c r="C11" s="485" t="s">
        <v>332</v>
      </c>
      <c r="D11" s="485"/>
      <c r="E11" s="485"/>
      <c r="F11" s="354">
        <v>104</v>
      </c>
      <c r="G11" s="361">
        <v>75</v>
      </c>
      <c r="H11" s="362">
        <v>65</v>
      </c>
      <c r="I11">
        <v>58</v>
      </c>
      <c r="J11" s="357">
        <v>52</v>
      </c>
      <c r="K11" s="354">
        <v>52</v>
      </c>
      <c r="L11" s="358"/>
      <c r="N11" s="399" t="s">
        <v>349</v>
      </c>
      <c r="O11" s="339">
        <v>78</v>
      </c>
      <c r="S11" s="416" t="s">
        <v>363</v>
      </c>
      <c r="T11" s="416" t="s">
        <v>361</v>
      </c>
      <c r="U11" s="416">
        <v>10000</v>
      </c>
      <c r="V11" t="s">
        <v>51</v>
      </c>
      <c r="W11" s="416" t="s">
        <v>374</v>
      </c>
    </row>
    <row r="12" spans="1:23" ht="13.5" customHeight="1" x14ac:dyDescent="0.3">
      <c r="B12" s="353"/>
      <c r="C12" s="485" t="s">
        <v>333</v>
      </c>
      <c r="D12" s="485"/>
      <c r="E12" s="485"/>
      <c r="F12" s="354">
        <v>117</v>
      </c>
      <c r="G12" s="354">
        <v>86</v>
      </c>
      <c r="H12" s="347">
        <v>76</v>
      </c>
      <c r="I12">
        <v>68</v>
      </c>
      <c r="J12" s="357">
        <v>61</v>
      </c>
      <c r="K12" s="354">
        <v>61</v>
      </c>
      <c r="L12" s="358"/>
      <c r="N12" s="399" t="s">
        <v>350</v>
      </c>
      <c r="O12" s="339">
        <v>270</v>
      </c>
      <c r="S12" s="416" t="s">
        <v>364</v>
      </c>
      <c r="T12" s="416" t="s">
        <v>365</v>
      </c>
      <c r="U12" s="416">
        <v>4800</v>
      </c>
      <c r="V12" t="s">
        <v>51</v>
      </c>
    </row>
    <row r="13" spans="1:23" ht="15" customHeight="1" x14ac:dyDescent="0.3">
      <c r="B13" s="353">
        <v>2009</v>
      </c>
      <c r="C13" s="485" t="s">
        <v>332</v>
      </c>
      <c r="D13" s="485"/>
      <c r="E13" s="485"/>
      <c r="F13" s="354">
        <v>124</v>
      </c>
      <c r="G13" s="354">
        <v>83</v>
      </c>
      <c r="H13" s="347">
        <v>72</v>
      </c>
      <c r="I13" s="347">
        <v>64</v>
      </c>
      <c r="J13" s="364">
        <v>57</v>
      </c>
      <c r="K13" s="354">
        <v>54</v>
      </c>
      <c r="L13" s="358"/>
      <c r="N13" s="399" t="s">
        <v>351</v>
      </c>
      <c r="O13" s="339">
        <v>93</v>
      </c>
      <c r="S13" s="416" t="s">
        <v>366</v>
      </c>
      <c r="T13" s="416" t="s">
        <v>362</v>
      </c>
      <c r="U13" s="416">
        <v>4000</v>
      </c>
      <c r="V13" t="s">
        <v>51</v>
      </c>
      <c r="W13" s="416" t="s">
        <v>374</v>
      </c>
    </row>
    <row r="14" spans="1:23" ht="13.5" customHeight="1" x14ac:dyDescent="0.3">
      <c r="B14" s="353"/>
      <c r="C14" s="485" t="s">
        <v>333</v>
      </c>
      <c r="D14" s="485"/>
      <c r="E14" s="485"/>
      <c r="F14" s="354">
        <v>121</v>
      </c>
      <c r="G14" s="354">
        <v>81</v>
      </c>
      <c r="H14" s="347">
        <v>72</v>
      </c>
      <c r="I14" s="347">
        <v>62</v>
      </c>
      <c r="J14" s="364">
        <v>58</v>
      </c>
      <c r="K14" s="354">
        <v>52</v>
      </c>
      <c r="L14" s="358"/>
      <c r="N14" s="399" t="s">
        <v>352</v>
      </c>
      <c r="O14" s="339">
        <v>4</v>
      </c>
      <c r="S14" s="416" t="s">
        <v>367</v>
      </c>
      <c r="T14" s="416" t="s">
        <v>368</v>
      </c>
      <c r="U14" s="416">
        <v>4000</v>
      </c>
      <c r="V14" t="s">
        <v>51</v>
      </c>
      <c r="W14" s="416" t="s">
        <v>374</v>
      </c>
    </row>
    <row r="15" spans="1:23" ht="15" customHeight="1" x14ac:dyDescent="0.3">
      <c r="B15" s="353">
        <v>2010</v>
      </c>
      <c r="C15" s="484" t="s">
        <v>332</v>
      </c>
      <c r="D15" s="484"/>
      <c r="E15" s="484"/>
      <c r="F15" s="354">
        <v>131</v>
      </c>
      <c r="G15" s="354">
        <v>89</v>
      </c>
      <c r="H15" s="347">
        <v>79</v>
      </c>
      <c r="I15" s="347">
        <v>70</v>
      </c>
      <c r="J15" s="364">
        <v>68</v>
      </c>
      <c r="K15" s="354">
        <v>64</v>
      </c>
      <c r="L15" s="358"/>
      <c r="N15" s="399" t="s">
        <v>166</v>
      </c>
      <c r="O15" s="339">
        <v>7</v>
      </c>
      <c r="S15" s="416" t="s">
        <v>369</v>
      </c>
      <c r="T15" s="416" t="s">
        <v>361</v>
      </c>
      <c r="U15" s="416">
        <v>1100</v>
      </c>
      <c r="V15" t="s">
        <v>51</v>
      </c>
      <c r="W15" s="416" t="s">
        <v>374</v>
      </c>
    </row>
    <row r="16" spans="1:23" ht="15" customHeight="1" x14ac:dyDescent="0.3">
      <c r="B16" s="353"/>
      <c r="C16" s="485" t="s">
        <v>333</v>
      </c>
      <c r="D16" s="485"/>
      <c r="E16" s="485"/>
      <c r="F16" s="354">
        <v>137</v>
      </c>
      <c r="G16" s="354">
        <v>88</v>
      </c>
      <c r="H16" s="347">
        <v>78</v>
      </c>
      <c r="I16" s="347">
        <v>68</v>
      </c>
      <c r="J16" s="364">
        <v>65</v>
      </c>
      <c r="K16" s="354">
        <v>61</v>
      </c>
      <c r="L16" s="358"/>
      <c r="N16" s="399" t="s">
        <v>47</v>
      </c>
      <c r="O16" s="339">
        <v>11</v>
      </c>
      <c r="P16" s="339">
        <v>0</v>
      </c>
      <c r="S16" s="416" t="s">
        <v>370</v>
      </c>
      <c r="T16" s="416" t="s">
        <v>361</v>
      </c>
      <c r="U16" s="416">
        <v>3000</v>
      </c>
      <c r="V16" t="s">
        <v>51</v>
      </c>
    </row>
    <row r="17" spans="2:25" ht="15" customHeight="1" x14ac:dyDescent="0.3">
      <c r="B17" s="353">
        <v>2011</v>
      </c>
      <c r="C17" s="484" t="s">
        <v>332</v>
      </c>
      <c r="D17" s="484"/>
      <c r="E17" s="484"/>
      <c r="F17" s="354">
        <v>144</v>
      </c>
      <c r="G17" s="354">
        <v>90</v>
      </c>
      <c r="H17" s="347">
        <v>80</v>
      </c>
      <c r="I17" s="347">
        <v>70</v>
      </c>
      <c r="J17" s="364">
        <v>64</v>
      </c>
      <c r="K17" s="354">
        <v>60</v>
      </c>
      <c r="L17" s="358"/>
      <c r="N17" s="399" t="s">
        <v>353</v>
      </c>
      <c r="O17" s="339">
        <v>15</v>
      </c>
      <c r="S17" s="416" t="s">
        <v>371</v>
      </c>
      <c r="T17" s="416"/>
      <c r="U17" s="416">
        <v>8720</v>
      </c>
      <c r="V17" t="s">
        <v>51</v>
      </c>
      <c r="W17" s="416" t="s">
        <v>374</v>
      </c>
    </row>
    <row r="18" spans="2:25" s="363" customFormat="1" ht="15" customHeight="1" thickBot="1" x14ac:dyDescent="0.35">
      <c r="B18" s="353"/>
      <c r="C18" s="485" t="s">
        <v>333</v>
      </c>
      <c r="D18" s="485"/>
      <c r="E18" s="485"/>
      <c r="F18" s="364">
        <v>135</v>
      </c>
      <c r="G18" s="364">
        <v>85</v>
      </c>
      <c r="H18" s="365">
        <v>76</v>
      </c>
      <c r="I18" s="365">
        <v>65</v>
      </c>
      <c r="J18" s="364">
        <v>56</v>
      </c>
      <c r="K18" s="366">
        <v>51</v>
      </c>
      <c r="L18" s="367"/>
      <c r="N18" s="410" t="s">
        <v>170</v>
      </c>
      <c r="O18" s="411">
        <v>66</v>
      </c>
      <c r="P18" s="411"/>
      <c r="S18" s="416" t="s">
        <v>372</v>
      </c>
      <c r="T18" s="416"/>
      <c r="U18" s="416">
        <v>12800</v>
      </c>
      <c r="V18" t="s">
        <v>51</v>
      </c>
      <c r="W18" s="363" t="s">
        <v>374</v>
      </c>
    </row>
    <row r="19" spans="2:25" s="363" customFormat="1" ht="15" customHeight="1" thickTop="1" x14ac:dyDescent="0.3">
      <c r="B19" s="353">
        <v>2012</v>
      </c>
      <c r="C19" s="484" t="s">
        <v>332</v>
      </c>
      <c r="D19" s="484"/>
      <c r="E19" s="484"/>
      <c r="F19" s="366">
        <v>147</v>
      </c>
      <c r="G19" s="366">
        <v>82</v>
      </c>
      <c r="H19" s="368">
        <v>72</v>
      </c>
      <c r="I19" s="368">
        <v>63</v>
      </c>
      <c r="J19" s="364">
        <v>56</v>
      </c>
      <c r="K19" s="366">
        <v>48</v>
      </c>
      <c r="L19" s="367"/>
      <c r="N19" s="412" t="s">
        <v>193</v>
      </c>
      <c r="O19" s="413">
        <f>SUM(O8:O18)</f>
        <v>639</v>
      </c>
      <c r="P19" s="413">
        <f>SUM(P8:P18)</f>
        <v>0</v>
      </c>
    </row>
    <row r="20" spans="2:25" s="363" customFormat="1" ht="15" customHeight="1" x14ac:dyDescent="0.3">
      <c r="B20" s="353"/>
      <c r="C20" s="485" t="s">
        <v>333</v>
      </c>
      <c r="D20" s="485"/>
      <c r="E20" s="485"/>
      <c r="F20" s="369">
        <v>153</v>
      </c>
      <c r="G20" s="369">
        <v>77</v>
      </c>
      <c r="H20" s="369">
        <v>66</v>
      </c>
      <c r="I20" s="369">
        <v>57</v>
      </c>
      <c r="J20" s="369">
        <v>50</v>
      </c>
      <c r="K20" s="369">
        <v>42</v>
      </c>
      <c r="L20" s="369"/>
      <c r="N20" s="401" t="s">
        <v>354</v>
      </c>
      <c r="O20" s="407">
        <f>O19-O13</f>
        <v>546</v>
      </c>
      <c r="P20" s="407"/>
    </row>
    <row r="21" spans="2:25" s="363" customFormat="1" ht="15" customHeight="1" x14ac:dyDescent="0.3">
      <c r="B21" s="353">
        <v>2013</v>
      </c>
      <c r="C21" s="484" t="s">
        <v>332</v>
      </c>
      <c r="D21" s="484"/>
      <c r="E21" s="484"/>
      <c r="F21" s="364">
        <v>127.14416666666666</v>
      </c>
      <c r="G21" s="364">
        <v>76.043333333333337</v>
      </c>
      <c r="H21" s="364">
        <v>68.621111111111105</v>
      </c>
      <c r="I21" s="364">
        <v>58.848888888888894</v>
      </c>
      <c r="J21" s="364">
        <v>53.278333333333336</v>
      </c>
      <c r="K21" s="364">
        <v>46.930499999999995</v>
      </c>
      <c r="L21" s="367"/>
      <c r="N21" s="401"/>
      <c r="O21" s="407"/>
      <c r="P21" s="407"/>
    </row>
    <row r="22" spans="2:25" s="363" customFormat="1" ht="15" customHeight="1" x14ac:dyDescent="0.3">
      <c r="B22" s="353"/>
      <c r="C22" s="485" t="s">
        <v>333</v>
      </c>
      <c r="D22" s="485"/>
      <c r="E22" s="485"/>
      <c r="F22" s="370">
        <v>128.85694444444445</v>
      </c>
      <c r="G22" s="370">
        <v>76.015000000000001</v>
      </c>
      <c r="H22" s="370">
        <v>65.5</v>
      </c>
      <c r="I22" s="370">
        <v>58.946666666666658</v>
      </c>
      <c r="J22" s="370">
        <v>51.650833333333331</v>
      </c>
      <c r="K22" s="370">
        <v>46.322499999999998</v>
      </c>
      <c r="L22" s="367"/>
      <c r="N22" s="401"/>
      <c r="O22" s="407"/>
      <c r="P22" s="407"/>
    </row>
    <row r="23" spans="2:25" s="363" customFormat="1" ht="15" customHeight="1" x14ac:dyDescent="0.3">
      <c r="B23" s="353">
        <v>2014</v>
      </c>
      <c r="C23" s="353" t="s">
        <v>332</v>
      </c>
      <c r="D23" s="353"/>
      <c r="E23" s="353"/>
      <c r="F23" s="370">
        <v>127</v>
      </c>
      <c r="G23" s="371">
        <v>73</v>
      </c>
      <c r="H23" s="370">
        <v>63</v>
      </c>
      <c r="I23" s="370">
        <v>57</v>
      </c>
      <c r="J23" s="370">
        <v>50</v>
      </c>
      <c r="K23" s="370">
        <v>44</v>
      </c>
      <c r="L23" s="367"/>
      <c r="M23" s="356"/>
      <c r="N23" s="402"/>
      <c r="O23" s="408"/>
      <c r="P23" s="407"/>
    </row>
    <row r="24" spans="2:25" s="373" customFormat="1" ht="13.5" customHeight="1" x14ac:dyDescent="0.3">
      <c r="B24" s="353"/>
      <c r="C24" s="344" t="s">
        <v>333</v>
      </c>
      <c r="D24" s="344"/>
      <c r="E24" s="344"/>
      <c r="F24" s="370">
        <v>122.89638888888889</v>
      </c>
      <c r="G24" s="372">
        <v>71.510000000000005</v>
      </c>
      <c r="H24" s="370">
        <v>61.544722222222219</v>
      </c>
      <c r="I24" s="370">
        <v>55.239166666666677</v>
      </c>
      <c r="J24" s="370">
        <v>49.279166666666661</v>
      </c>
      <c r="K24" s="370">
        <v>42.625000000000007</v>
      </c>
      <c r="N24" s="403"/>
      <c r="O24" s="409"/>
      <c r="P24" s="409"/>
      <c r="Q24" s="374"/>
      <c r="R24" s="374"/>
      <c r="S24" s="375"/>
      <c r="T24" s="375"/>
      <c r="U24" s="375"/>
      <c r="V24" s="375"/>
      <c r="W24" s="375"/>
      <c r="X24" s="375"/>
      <c r="Y24" s="376"/>
    </row>
    <row r="25" spans="2:25" s="363" customFormat="1" ht="15" customHeight="1" x14ac:dyDescent="0.3">
      <c r="B25" s="353">
        <v>2015</v>
      </c>
      <c r="C25" s="353" t="s">
        <v>332</v>
      </c>
      <c r="D25" s="353"/>
      <c r="E25" s="353"/>
      <c r="F25" s="370">
        <v>122</v>
      </c>
      <c r="G25" s="377">
        <v>67</v>
      </c>
      <c r="H25" s="370">
        <v>58</v>
      </c>
      <c r="I25" s="370">
        <v>51</v>
      </c>
      <c r="J25" s="370">
        <v>45</v>
      </c>
      <c r="K25" s="370">
        <v>38</v>
      </c>
      <c r="L25" s="367"/>
      <c r="M25" s="356"/>
      <c r="N25" s="402" t="s">
        <v>458</v>
      </c>
      <c r="O25" s="408"/>
      <c r="P25" s="407"/>
    </row>
    <row r="26" spans="2:25" s="373" customFormat="1" ht="13.5" customHeight="1" x14ac:dyDescent="0.3">
      <c r="B26" s="353"/>
      <c r="C26" s="344" t="s">
        <v>333</v>
      </c>
      <c r="D26" s="344"/>
      <c r="E26" s="344"/>
      <c r="F26" s="370">
        <v>132</v>
      </c>
      <c r="G26" s="365">
        <v>66</v>
      </c>
      <c r="H26" s="370">
        <v>55</v>
      </c>
      <c r="I26" s="370">
        <v>48</v>
      </c>
      <c r="J26" s="370">
        <v>42</v>
      </c>
      <c r="K26" s="370">
        <v>33</v>
      </c>
      <c r="N26" s="403" t="s">
        <v>459</v>
      </c>
      <c r="O26" s="409"/>
      <c r="P26" s="409"/>
      <c r="Q26" s="374"/>
      <c r="R26" s="374"/>
      <c r="S26" s="375"/>
      <c r="T26" s="375"/>
      <c r="U26" s="375"/>
      <c r="V26" s="375"/>
      <c r="W26" s="375"/>
      <c r="X26" s="375"/>
      <c r="Y26" s="376"/>
    </row>
    <row r="27" spans="2:25" s="363" customFormat="1" ht="15" customHeight="1" x14ac:dyDescent="0.3">
      <c r="B27" s="353">
        <v>2016</v>
      </c>
      <c r="C27" s="353" t="s">
        <v>332</v>
      </c>
      <c r="D27" s="353"/>
      <c r="E27" s="353"/>
      <c r="F27" s="370">
        <v>116</v>
      </c>
      <c r="G27" s="377">
        <v>67</v>
      </c>
      <c r="H27" s="370">
        <v>57</v>
      </c>
      <c r="I27" s="370">
        <v>49</v>
      </c>
      <c r="J27" s="370">
        <v>43</v>
      </c>
      <c r="K27" s="370">
        <v>36</v>
      </c>
      <c r="L27" s="367"/>
      <c r="M27" s="356"/>
      <c r="N27" s="402" t="s">
        <v>460</v>
      </c>
      <c r="O27" s="408"/>
      <c r="P27" s="407"/>
    </row>
    <row r="28" spans="2:25" s="373" customFormat="1" ht="13.5" customHeight="1" x14ac:dyDescent="0.3">
      <c r="B28" s="353"/>
      <c r="C28" s="344" t="s">
        <v>333</v>
      </c>
      <c r="D28" s="344"/>
      <c r="E28" s="344"/>
      <c r="F28" s="370">
        <v>141</v>
      </c>
      <c r="G28" s="365">
        <v>74</v>
      </c>
      <c r="H28" s="370">
        <v>63</v>
      </c>
      <c r="I28" s="370">
        <v>54</v>
      </c>
      <c r="J28" s="370">
        <v>50</v>
      </c>
      <c r="K28" s="370">
        <v>43</v>
      </c>
      <c r="N28" s="403"/>
      <c r="O28" s="409"/>
      <c r="P28" s="409"/>
      <c r="Q28" s="374"/>
      <c r="R28" s="374"/>
      <c r="S28" s="375"/>
      <c r="T28" s="375"/>
      <c r="U28" s="375"/>
      <c r="V28" s="375"/>
      <c r="W28" s="375"/>
      <c r="X28" s="375"/>
      <c r="Y28" s="376"/>
    </row>
    <row r="29" spans="2:25" s="373" customFormat="1" ht="13.5" customHeight="1" x14ac:dyDescent="0.3">
      <c r="B29" s="353">
        <v>2017</v>
      </c>
      <c r="C29" s="353" t="s">
        <v>332</v>
      </c>
      <c r="D29" s="344"/>
      <c r="E29" s="344"/>
      <c r="F29" s="370">
        <v>130</v>
      </c>
      <c r="G29" s="378">
        <v>73</v>
      </c>
      <c r="H29" s="370">
        <v>62</v>
      </c>
      <c r="I29" s="370">
        <v>53</v>
      </c>
      <c r="J29" s="370">
        <v>45</v>
      </c>
      <c r="K29" s="370">
        <v>38</v>
      </c>
      <c r="N29" s="403"/>
      <c r="O29" s="409"/>
      <c r="P29" s="409"/>
      <c r="Q29" s="374"/>
      <c r="R29" s="374"/>
      <c r="S29" s="375"/>
      <c r="T29" s="375"/>
      <c r="U29" s="375"/>
      <c r="V29" s="375"/>
      <c r="W29" s="375"/>
      <c r="X29" s="375"/>
      <c r="Y29" s="376"/>
    </row>
    <row r="30" spans="2:25" s="373" customFormat="1" ht="13.5" customHeight="1" x14ac:dyDescent="0.3">
      <c r="B30" s="353"/>
      <c r="C30" s="344" t="s">
        <v>333</v>
      </c>
      <c r="D30" s="344"/>
      <c r="E30" s="344"/>
      <c r="F30" s="370"/>
      <c r="G30" s="378"/>
      <c r="H30" s="370"/>
      <c r="I30" s="370"/>
      <c r="J30" s="370"/>
      <c r="K30" s="370"/>
      <c r="N30" s="403"/>
      <c r="O30" s="409"/>
      <c r="P30" s="409"/>
      <c r="Q30" s="374"/>
      <c r="R30" s="374"/>
      <c r="S30" s="375"/>
      <c r="T30" s="375"/>
      <c r="U30" s="375"/>
      <c r="V30" s="375"/>
      <c r="W30" s="375"/>
      <c r="X30" s="375"/>
      <c r="Y30" s="376"/>
    </row>
    <row r="31" spans="2:25" ht="4.5" customHeight="1" thickBot="1" x14ac:dyDescent="0.35">
      <c r="B31" s="342"/>
      <c r="C31" s="342"/>
      <c r="D31" s="342"/>
      <c r="E31" s="342"/>
      <c r="F31" s="342"/>
      <c r="G31" s="342"/>
      <c r="H31" s="342"/>
      <c r="I31" s="342"/>
      <c r="J31" s="342"/>
      <c r="K31" s="342"/>
      <c r="L31" s="351"/>
      <c r="N31" s="404"/>
    </row>
    <row r="32" spans="2:25" x14ac:dyDescent="0.3">
      <c r="F32" s="379"/>
      <c r="G32" s="370"/>
      <c r="H32" s="355"/>
      <c r="I32" s="370"/>
      <c r="J32" s="355"/>
      <c r="K32" s="355"/>
      <c r="L32" s="219"/>
      <c r="N32" s="405"/>
      <c r="O32" s="391"/>
      <c r="Q32" s="354"/>
    </row>
    <row r="33" spans="1:17" ht="12.75" customHeight="1" x14ac:dyDescent="0.3">
      <c r="E33" s="486" t="s">
        <v>345</v>
      </c>
      <c r="F33" s="486"/>
      <c r="G33" s="219">
        <f>AVERAGE(G25:G29)</f>
        <v>69.400000000000006</v>
      </c>
      <c r="H33" s="354"/>
      <c r="I33" s="354"/>
      <c r="J33" s="354"/>
      <c r="K33" s="354"/>
      <c r="L33" s="219"/>
      <c r="N33" s="406"/>
      <c r="O33" s="392"/>
      <c r="P33" s="392"/>
      <c r="Q33" s="354"/>
    </row>
    <row r="34" spans="1:17" ht="14.25" customHeight="1" x14ac:dyDescent="0.3">
      <c r="F34" s="393" t="s">
        <v>348</v>
      </c>
      <c r="G34" s="398">
        <f>G33-32.5+0.5</f>
        <v>37.400000000000006</v>
      </c>
      <c r="Q34" s="354"/>
    </row>
    <row r="35" spans="1:17" ht="14.25" customHeight="1" x14ac:dyDescent="0.3">
      <c r="F35" s="393"/>
      <c r="G35" s="360"/>
      <c r="Q35" s="354"/>
    </row>
    <row r="36" spans="1:17" ht="14.25" customHeight="1" x14ac:dyDescent="0.3">
      <c r="E36" s="380" t="s">
        <v>334</v>
      </c>
      <c r="F36" s="380"/>
      <c r="Q36" s="354"/>
    </row>
    <row r="37" spans="1:17" ht="14.25" customHeight="1" x14ac:dyDescent="0.3">
      <c r="E37" s="477" t="s">
        <v>335</v>
      </c>
      <c r="F37" s="477"/>
      <c r="G37" s="490" t="s">
        <v>336</v>
      </c>
      <c r="H37" s="490"/>
      <c r="Q37" s="354"/>
    </row>
    <row r="38" spans="1:17" ht="14.25" customHeight="1" x14ac:dyDescent="0.3">
      <c r="E38" s="478"/>
      <c r="F38" s="478"/>
      <c r="G38" s="491"/>
      <c r="H38" s="491"/>
      <c r="Q38" s="354"/>
    </row>
    <row r="39" spans="1:17" ht="14.25" customHeight="1" x14ac:dyDescent="0.3">
      <c r="E39" s="382" t="s">
        <v>326</v>
      </c>
      <c r="F39" s="382"/>
      <c r="G39" s="479" t="s">
        <v>337</v>
      </c>
      <c r="H39" s="479"/>
      <c r="Q39" s="354"/>
    </row>
    <row r="40" spans="1:17" ht="14.25" customHeight="1" x14ac:dyDescent="0.3">
      <c r="E40" s="384" t="s">
        <v>327</v>
      </c>
      <c r="F40" s="384"/>
      <c r="G40" s="480" t="s">
        <v>338</v>
      </c>
      <c r="H40" s="480"/>
      <c r="Q40" s="354"/>
    </row>
    <row r="41" spans="1:17" ht="14.25" customHeight="1" x14ac:dyDescent="0.3">
      <c r="E41" s="385" t="s">
        <v>328</v>
      </c>
      <c r="F41" s="385"/>
      <c r="G41" s="481" t="s">
        <v>339</v>
      </c>
      <c r="H41" s="481"/>
      <c r="Q41" s="354"/>
    </row>
    <row r="42" spans="1:17" ht="14.25" customHeight="1" x14ac:dyDescent="0.3">
      <c r="E42" s="385" t="s">
        <v>329</v>
      </c>
      <c r="F42" s="385"/>
      <c r="G42" s="481" t="s">
        <v>340</v>
      </c>
      <c r="H42" s="481"/>
      <c r="Q42" s="354"/>
    </row>
    <row r="43" spans="1:17" ht="14.25" customHeight="1" x14ac:dyDescent="0.3">
      <c r="E43" s="385" t="s">
        <v>330</v>
      </c>
      <c r="F43" s="385"/>
      <c r="G43" s="481" t="s">
        <v>341</v>
      </c>
      <c r="H43" s="481"/>
      <c r="Q43" s="354"/>
    </row>
    <row r="44" spans="1:17" ht="14.25" customHeight="1" thickBot="1" x14ac:dyDescent="0.35">
      <c r="E44" s="389" t="s">
        <v>331</v>
      </c>
      <c r="F44" s="389"/>
      <c r="G44" s="482" t="s">
        <v>342</v>
      </c>
      <c r="H44" s="483"/>
      <c r="Q44" s="354"/>
    </row>
    <row r="45" spans="1:17" ht="6.75" customHeight="1" x14ac:dyDescent="0.3">
      <c r="I45" s="219"/>
      <c r="L45" s="381"/>
      <c r="Q45" s="354"/>
    </row>
    <row r="46" spans="1:17" ht="27.75" customHeight="1" x14ac:dyDescent="0.3">
      <c r="A46" s="492" t="s">
        <v>346</v>
      </c>
      <c r="B46" s="492"/>
      <c r="C46" s="492"/>
      <c r="D46" s="492"/>
      <c r="E46" s="492"/>
      <c r="F46" s="492"/>
      <c r="G46" s="492"/>
      <c r="H46" s="492"/>
      <c r="I46" s="492"/>
      <c r="J46" s="492"/>
      <c r="K46" s="492"/>
      <c r="L46" s="346"/>
      <c r="M46" s="359"/>
    </row>
    <row r="47" spans="1:17" ht="15" customHeight="1" x14ac:dyDescent="0.3">
      <c r="A47" s="394"/>
      <c r="B47" s="394"/>
      <c r="C47" s="394"/>
      <c r="D47" s="394"/>
      <c r="G47" s="383"/>
      <c r="H47" s="354"/>
      <c r="I47" s="219"/>
      <c r="J47" s="370"/>
      <c r="K47" s="359"/>
      <c r="L47" s="370"/>
      <c r="M47" s="346"/>
    </row>
    <row r="48" spans="1:17" ht="48" customHeight="1" x14ac:dyDescent="0.3">
      <c r="A48" s="475" t="s">
        <v>347</v>
      </c>
      <c r="B48" s="475"/>
      <c r="C48" s="475"/>
      <c r="D48" s="475"/>
      <c r="E48" s="475"/>
      <c r="F48" s="475"/>
      <c r="G48" s="475"/>
      <c r="H48" s="475"/>
      <c r="I48" s="475"/>
      <c r="J48" s="475"/>
      <c r="K48" s="475"/>
    </row>
    <row r="49" spans="1:14" x14ac:dyDescent="0.3">
      <c r="G49" s="383"/>
      <c r="H49" s="354"/>
      <c r="I49" s="219"/>
      <c r="J49" s="370"/>
      <c r="K49" s="356"/>
      <c r="L49" s="370"/>
      <c r="M49" s="352"/>
    </row>
    <row r="50" spans="1:14" ht="12.9" customHeight="1" x14ac:dyDescent="0.3">
      <c r="B50" s="395"/>
      <c r="C50" s="395"/>
      <c r="D50" s="395"/>
      <c r="G50" s="383"/>
      <c r="H50" s="354"/>
      <c r="I50" s="219"/>
      <c r="J50" s="386"/>
      <c r="K50" s="387"/>
      <c r="L50" s="386"/>
      <c r="M50" s="388"/>
    </row>
    <row r="51" spans="1:14" ht="12.9" customHeight="1" x14ac:dyDescent="0.3">
      <c r="A51" s="395"/>
      <c r="B51" s="395"/>
      <c r="C51" s="395"/>
      <c r="D51" s="395"/>
      <c r="G51" s="383"/>
      <c r="H51" s="354"/>
      <c r="J51" s="377"/>
      <c r="K51" s="347"/>
      <c r="L51" s="377"/>
      <c r="M51" s="362"/>
    </row>
    <row r="52" spans="1:14" ht="21" customHeight="1" x14ac:dyDescent="0.3">
      <c r="A52" s="395"/>
      <c r="B52" s="395"/>
      <c r="C52" s="395"/>
      <c r="D52" s="395"/>
      <c r="E52" s="351"/>
      <c r="F52" s="351"/>
      <c r="G52" s="383"/>
      <c r="H52" s="396"/>
      <c r="I52" s="351"/>
      <c r="J52" s="356"/>
      <c r="K52" s="351"/>
      <c r="L52" s="356"/>
      <c r="M52" s="351"/>
    </row>
    <row r="53" spans="1:14" x14ac:dyDescent="0.3">
      <c r="A53" s="395"/>
      <c r="B53" s="395"/>
      <c r="C53" s="395"/>
      <c r="D53" s="395"/>
      <c r="E53" s="383"/>
      <c r="F53" s="390"/>
      <c r="G53" s="383"/>
      <c r="H53" s="390"/>
      <c r="I53" s="383"/>
      <c r="J53" s="390"/>
      <c r="K53" s="351"/>
      <c r="L53" s="351"/>
      <c r="M53" s="396"/>
    </row>
    <row r="54" spans="1:14" x14ac:dyDescent="0.3">
      <c r="A54" s="395"/>
      <c r="B54" s="395"/>
      <c r="C54" s="395"/>
      <c r="D54" s="395"/>
      <c r="E54" s="383"/>
      <c r="F54" s="390"/>
      <c r="G54" s="383"/>
      <c r="H54" s="390"/>
      <c r="I54" s="383"/>
      <c r="J54" s="390"/>
      <c r="K54" s="351"/>
      <c r="L54" s="351"/>
      <c r="M54" s="396"/>
      <c r="N54" s="405"/>
    </row>
    <row r="55" spans="1:14" x14ac:dyDescent="0.3">
      <c r="A55" s="395"/>
      <c r="B55" s="395"/>
      <c r="C55" s="395"/>
      <c r="D55" s="395"/>
      <c r="E55" s="383"/>
      <c r="F55" s="390"/>
      <c r="G55" s="383"/>
      <c r="H55" s="390"/>
      <c r="I55" s="383"/>
      <c r="J55" s="390"/>
      <c r="K55" s="351"/>
      <c r="L55" s="351"/>
      <c r="M55" s="396"/>
      <c r="N55" s="405"/>
    </row>
    <row r="56" spans="1:14" x14ac:dyDescent="0.3">
      <c r="A56" s="395"/>
      <c r="B56" s="395"/>
      <c r="C56" s="395"/>
      <c r="D56" s="395"/>
      <c r="E56" s="351"/>
      <c r="F56" s="351"/>
      <c r="G56" s="351"/>
      <c r="H56" s="351"/>
      <c r="I56" s="351"/>
      <c r="J56" s="351"/>
      <c r="K56" s="351"/>
      <c r="L56" s="351"/>
      <c r="M56" s="396"/>
      <c r="N56" s="405"/>
    </row>
    <row r="57" spans="1:14" x14ac:dyDescent="0.3">
      <c r="E57" s="351"/>
      <c r="F57" s="351"/>
      <c r="G57" s="351"/>
      <c r="H57" s="351"/>
      <c r="I57" s="351"/>
      <c r="J57" s="351"/>
      <c r="K57" s="351"/>
      <c r="L57" s="397"/>
      <c r="M57" s="396"/>
      <c r="N57" s="405"/>
    </row>
    <row r="58" spans="1:14" x14ac:dyDescent="0.3">
      <c r="E58" s="351"/>
      <c r="F58" s="351"/>
      <c r="G58" s="351"/>
      <c r="H58" s="351"/>
      <c r="I58" s="351"/>
      <c r="J58" s="351"/>
      <c r="K58" s="351"/>
      <c r="L58" s="397"/>
      <c r="M58" s="396"/>
      <c r="N58" s="405"/>
    </row>
    <row r="59" spans="1:14" x14ac:dyDescent="0.3">
      <c r="E59" s="351"/>
      <c r="F59" s="351"/>
      <c r="G59" s="351"/>
      <c r="H59" s="351"/>
      <c r="I59" s="351"/>
      <c r="J59" s="351"/>
      <c r="K59" s="351"/>
      <c r="L59" s="351"/>
      <c r="M59" s="351"/>
    </row>
  </sheetData>
  <sheetProtection algorithmName="SHA-512" hashValue="dXHm9zCK8NltM6WYzJHMisKNTAL+EYZN1XryaWKvQcnvwXTZcwH/KJOtqlfOYzpfdzlf8dpFzBUfSnb45bqyew==" saltValue="sEx4kKrIC22v8xr9i8/4AA==" spinCount="100000" sheet="1" selectLockedCells="1" selectUnlockedCells="1"/>
  <mergeCells count="31">
    <mergeCell ref="O5:O7"/>
    <mergeCell ref="P5:P7"/>
    <mergeCell ref="S1:U1"/>
    <mergeCell ref="G37:H38"/>
    <mergeCell ref="A46:K46"/>
    <mergeCell ref="C15:E15"/>
    <mergeCell ref="C16:E16"/>
    <mergeCell ref="C17:E17"/>
    <mergeCell ref="C18:E18"/>
    <mergeCell ref="B5:K5"/>
    <mergeCell ref="F7:K7"/>
    <mergeCell ref="C9:E9"/>
    <mergeCell ref="C10:E10"/>
    <mergeCell ref="C11:E11"/>
    <mergeCell ref="C12:E12"/>
    <mergeCell ref="A48:K48"/>
    <mergeCell ref="B1:J1"/>
    <mergeCell ref="E37:F38"/>
    <mergeCell ref="G39:H39"/>
    <mergeCell ref="G40:H40"/>
    <mergeCell ref="G41:H41"/>
    <mergeCell ref="G42:H42"/>
    <mergeCell ref="G43:H43"/>
    <mergeCell ref="G44:H44"/>
    <mergeCell ref="C19:E19"/>
    <mergeCell ref="C20:E20"/>
    <mergeCell ref="C21:E21"/>
    <mergeCell ref="C22:E22"/>
    <mergeCell ref="E33:F33"/>
    <mergeCell ref="C13:E13"/>
    <mergeCell ref="C14:E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defaultRowHeight="14.4" x14ac:dyDescent="0.3"/>
  <cols>
    <col min="1" max="1" width="60.88671875" customWidth="1"/>
  </cols>
  <sheetData>
    <row r="1" spans="1:1" x14ac:dyDescent="0.3">
      <c r="A1" s="212" t="s">
        <v>142</v>
      </c>
    </row>
    <row r="3" spans="1:1" x14ac:dyDescent="0.3">
      <c r="A3" t="s">
        <v>143</v>
      </c>
    </row>
    <row r="4" spans="1:1" x14ac:dyDescent="0.3">
      <c r="A4" t="s">
        <v>144</v>
      </c>
    </row>
    <row r="5" spans="1:1" x14ac:dyDescent="0.3">
      <c r="A5" t="s">
        <v>145</v>
      </c>
    </row>
    <row r="6" spans="1:1" x14ac:dyDescent="0.3">
      <c r="A6"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topLeftCell="K4" workbookViewId="0">
      <selection activeCell="A4" sqref="A1:J1048576"/>
    </sheetView>
  </sheetViews>
  <sheetFormatPr defaultRowHeight="14.4" x14ac:dyDescent="0.3"/>
  <cols>
    <col min="1" max="3" width="9.88671875" hidden="1" customWidth="1"/>
    <col min="4" max="5" width="9.88671875" style="213" hidden="1" customWidth="1"/>
    <col min="6" max="8" width="9.88671875" hidden="1" customWidth="1"/>
    <col min="9" max="9" width="9.88671875" style="215" hidden="1" customWidth="1"/>
    <col min="10" max="10" width="9.88671875" hidden="1" customWidth="1"/>
    <col min="12" max="12" width="17.109375" customWidth="1"/>
    <col min="258" max="258" width="9.109375" customWidth="1"/>
    <col min="259" max="259" width="13.6640625" customWidth="1"/>
    <col min="260" max="260" width="18.33203125" customWidth="1"/>
    <col min="261" max="261" width="22.44140625" customWidth="1"/>
    <col min="265" max="265" width="9.109375" customWidth="1"/>
    <col min="268" max="268" width="17.109375" customWidth="1"/>
    <col min="514" max="514" width="9.109375" customWidth="1"/>
    <col min="515" max="515" width="13.6640625" customWidth="1"/>
    <col min="516" max="516" width="18.33203125" customWidth="1"/>
    <col min="517" max="517" width="22.44140625" customWidth="1"/>
    <col min="521" max="521" width="9.109375" customWidth="1"/>
    <col min="524" max="524" width="17.109375" customWidth="1"/>
    <col min="770" max="770" width="9.109375" customWidth="1"/>
    <col min="771" max="771" width="13.6640625" customWidth="1"/>
    <col min="772" max="772" width="18.33203125" customWidth="1"/>
    <col min="773" max="773" width="22.44140625" customWidth="1"/>
    <col min="777" max="777" width="9.109375" customWidth="1"/>
    <col min="780" max="780" width="17.109375" customWidth="1"/>
    <col min="1026" max="1026" width="9.109375" customWidth="1"/>
    <col min="1027" max="1027" width="13.6640625" customWidth="1"/>
    <col min="1028" max="1028" width="18.33203125" customWidth="1"/>
    <col min="1029" max="1029" width="22.44140625" customWidth="1"/>
    <col min="1033" max="1033" width="9.109375" customWidth="1"/>
    <col min="1036" max="1036" width="17.109375" customWidth="1"/>
    <col min="1282" max="1282" width="9.109375" customWidth="1"/>
    <col min="1283" max="1283" width="13.6640625" customWidth="1"/>
    <col min="1284" max="1284" width="18.33203125" customWidth="1"/>
    <col min="1285" max="1285" width="22.44140625" customWidth="1"/>
    <col min="1289" max="1289" width="9.109375" customWidth="1"/>
    <col min="1292" max="1292" width="17.109375" customWidth="1"/>
    <col min="1538" max="1538" width="9.109375" customWidth="1"/>
    <col min="1539" max="1539" width="13.6640625" customWidth="1"/>
    <col min="1540" max="1540" width="18.33203125" customWidth="1"/>
    <col min="1541" max="1541" width="22.44140625" customWidth="1"/>
    <col min="1545" max="1545" width="9.109375" customWidth="1"/>
    <col min="1548" max="1548" width="17.109375" customWidth="1"/>
    <col min="1794" max="1794" width="9.109375" customWidth="1"/>
    <col min="1795" max="1795" width="13.6640625" customWidth="1"/>
    <col min="1796" max="1796" width="18.33203125" customWidth="1"/>
    <col min="1797" max="1797" width="22.44140625" customWidth="1"/>
    <col min="1801" max="1801" width="9.109375" customWidth="1"/>
    <col min="1804" max="1804" width="17.109375" customWidth="1"/>
    <col min="2050" max="2050" width="9.109375" customWidth="1"/>
    <col min="2051" max="2051" width="13.6640625" customWidth="1"/>
    <col min="2052" max="2052" width="18.33203125" customWidth="1"/>
    <col min="2053" max="2053" width="22.44140625" customWidth="1"/>
    <col min="2057" max="2057" width="9.109375" customWidth="1"/>
    <col min="2060" max="2060" width="17.109375" customWidth="1"/>
    <col min="2306" max="2306" width="9.109375" customWidth="1"/>
    <col min="2307" max="2307" width="13.6640625" customWidth="1"/>
    <col min="2308" max="2308" width="18.33203125" customWidth="1"/>
    <col min="2309" max="2309" width="22.44140625" customWidth="1"/>
    <col min="2313" max="2313" width="9.109375" customWidth="1"/>
    <col min="2316" max="2316" width="17.109375" customWidth="1"/>
    <col min="2562" max="2562" width="9.109375" customWidth="1"/>
    <col min="2563" max="2563" width="13.6640625" customWidth="1"/>
    <col min="2564" max="2564" width="18.33203125" customWidth="1"/>
    <col min="2565" max="2565" width="22.44140625" customWidth="1"/>
    <col min="2569" max="2569" width="9.109375" customWidth="1"/>
    <col min="2572" max="2572" width="17.109375" customWidth="1"/>
    <col min="2818" max="2818" width="9.109375" customWidth="1"/>
    <col min="2819" max="2819" width="13.6640625" customWidth="1"/>
    <col min="2820" max="2820" width="18.33203125" customWidth="1"/>
    <col min="2821" max="2821" width="22.44140625" customWidth="1"/>
    <col min="2825" max="2825" width="9.109375" customWidth="1"/>
    <col min="2828" max="2828" width="17.109375" customWidth="1"/>
    <col min="3074" max="3074" width="9.109375" customWidth="1"/>
    <col min="3075" max="3075" width="13.6640625" customWidth="1"/>
    <col min="3076" max="3076" width="18.33203125" customWidth="1"/>
    <col min="3077" max="3077" width="22.44140625" customWidth="1"/>
    <col min="3081" max="3081" width="9.109375" customWidth="1"/>
    <col min="3084" max="3084" width="17.109375" customWidth="1"/>
    <col min="3330" max="3330" width="9.109375" customWidth="1"/>
    <col min="3331" max="3331" width="13.6640625" customWidth="1"/>
    <col min="3332" max="3332" width="18.33203125" customWidth="1"/>
    <col min="3333" max="3333" width="22.44140625" customWidth="1"/>
    <col min="3337" max="3337" width="9.109375" customWidth="1"/>
    <col min="3340" max="3340" width="17.109375" customWidth="1"/>
    <col min="3586" max="3586" width="9.109375" customWidth="1"/>
    <col min="3587" max="3587" width="13.6640625" customWidth="1"/>
    <col min="3588" max="3588" width="18.33203125" customWidth="1"/>
    <col min="3589" max="3589" width="22.44140625" customWidth="1"/>
    <col min="3593" max="3593" width="9.109375" customWidth="1"/>
    <col min="3596" max="3596" width="17.109375" customWidth="1"/>
    <col min="3842" max="3842" width="9.109375" customWidth="1"/>
    <col min="3843" max="3843" width="13.6640625" customWidth="1"/>
    <col min="3844" max="3844" width="18.33203125" customWidth="1"/>
    <col min="3845" max="3845" width="22.44140625" customWidth="1"/>
    <col min="3849" max="3849" width="9.109375" customWidth="1"/>
    <col min="3852" max="3852" width="17.109375" customWidth="1"/>
    <col min="4098" max="4098" width="9.109375" customWidth="1"/>
    <col min="4099" max="4099" width="13.6640625" customWidth="1"/>
    <col min="4100" max="4100" width="18.33203125" customWidth="1"/>
    <col min="4101" max="4101" width="22.44140625" customWidth="1"/>
    <col min="4105" max="4105" width="9.109375" customWidth="1"/>
    <col min="4108" max="4108" width="17.109375" customWidth="1"/>
    <col min="4354" max="4354" width="9.109375" customWidth="1"/>
    <col min="4355" max="4355" width="13.6640625" customWidth="1"/>
    <col min="4356" max="4356" width="18.33203125" customWidth="1"/>
    <col min="4357" max="4357" width="22.44140625" customWidth="1"/>
    <col min="4361" max="4361" width="9.109375" customWidth="1"/>
    <col min="4364" max="4364" width="17.109375" customWidth="1"/>
    <col min="4610" max="4610" width="9.109375" customWidth="1"/>
    <col min="4611" max="4611" width="13.6640625" customWidth="1"/>
    <col min="4612" max="4612" width="18.33203125" customWidth="1"/>
    <col min="4613" max="4613" width="22.44140625" customWidth="1"/>
    <col min="4617" max="4617" width="9.109375" customWidth="1"/>
    <col min="4620" max="4620" width="17.109375" customWidth="1"/>
    <col min="4866" max="4866" width="9.109375" customWidth="1"/>
    <col min="4867" max="4867" width="13.6640625" customWidth="1"/>
    <col min="4868" max="4868" width="18.33203125" customWidth="1"/>
    <col min="4869" max="4869" width="22.44140625" customWidth="1"/>
    <col min="4873" max="4873" width="9.109375" customWidth="1"/>
    <col min="4876" max="4876" width="17.109375" customWidth="1"/>
    <col min="5122" max="5122" width="9.109375" customWidth="1"/>
    <col min="5123" max="5123" width="13.6640625" customWidth="1"/>
    <col min="5124" max="5124" width="18.33203125" customWidth="1"/>
    <col min="5125" max="5125" width="22.44140625" customWidth="1"/>
    <col min="5129" max="5129" width="9.109375" customWidth="1"/>
    <col min="5132" max="5132" width="17.109375" customWidth="1"/>
    <col min="5378" max="5378" width="9.109375" customWidth="1"/>
    <col min="5379" max="5379" width="13.6640625" customWidth="1"/>
    <col min="5380" max="5380" width="18.33203125" customWidth="1"/>
    <col min="5381" max="5381" width="22.44140625" customWidth="1"/>
    <col min="5385" max="5385" width="9.109375" customWidth="1"/>
    <col min="5388" max="5388" width="17.109375" customWidth="1"/>
    <col min="5634" max="5634" width="9.109375" customWidth="1"/>
    <col min="5635" max="5635" width="13.6640625" customWidth="1"/>
    <col min="5636" max="5636" width="18.33203125" customWidth="1"/>
    <col min="5637" max="5637" width="22.44140625" customWidth="1"/>
    <col min="5641" max="5641" width="9.109375" customWidth="1"/>
    <col min="5644" max="5644" width="17.109375" customWidth="1"/>
    <col min="5890" max="5890" width="9.109375" customWidth="1"/>
    <col min="5891" max="5891" width="13.6640625" customWidth="1"/>
    <col min="5892" max="5892" width="18.33203125" customWidth="1"/>
    <col min="5893" max="5893" width="22.44140625" customWidth="1"/>
    <col min="5897" max="5897" width="9.109375" customWidth="1"/>
    <col min="5900" max="5900" width="17.109375" customWidth="1"/>
    <col min="6146" max="6146" width="9.109375" customWidth="1"/>
    <col min="6147" max="6147" width="13.6640625" customWidth="1"/>
    <col min="6148" max="6148" width="18.33203125" customWidth="1"/>
    <col min="6149" max="6149" width="22.44140625" customWidth="1"/>
    <col min="6153" max="6153" width="9.109375" customWidth="1"/>
    <col min="6156" max="6156" width="17.109375" customWidth="1"/>
    <col min="6402" max="6402" width="9.109375" customWidth="1"/>
    <col min="6403" max="6403" width="13.6640625" customWidth="1"/>
    <col min="6404" max="6404" width="18.33203125" customWidth="1"/>
    <col min="6405" max="6405" width="22.44140625" customWidth="1"/>
    <col min="6409" max="6409" width="9.109375" customWidth="1"/>
    <col min="6412" max="6412" width="17.109375" customWidth="1"/>
    <col min="6658" max="6658" width="9.109375" customWidth="1"/>
    <col min="6659" max="6659" width="13.6640625" customWidth="1"/>
    <col min="6660" max="6660" width="18.33203125" customWidth="1"/>
    <col min="6661" max="6661" width="22.44140625" customWidth="1"/>
    <col min="6665" max="6665" width="9.109375" customWidth="1"/>
    <col min="6668" max="6668" width="17.109375" customWidth="1"/>
    <col min="6914" max="6914" width="9.109375" customWidth="1"/>
    <col min="6915" max="6915" width="13.6640625" customWidth="1"/>
    <col min="6916" max="6916" width="18.33203125" customWidth="1"/>
    <col min="6917" max="6917" width="22.44140625" customWidth="1"/>
    <col min="6921" max="6921" width="9.109375" customWidth="1"/>
    <col min="6924" max="6924" width="17.109375" customWidth="1"/>
    <col min="7170" max="7170" width="9.109375" customWidth="1"/>
    <col min="7171" max="7171" width="13.6640625" customWidth="1"/>
    <col min="7172" max="7172" width="18.33203125" customWidth="1"/>
    <col min="7173" max="7173" width="22.44140625" customWidth="1"/>
    <col min="7177" max="7177" width="9.109375" customWidth="1"/>
    <col min="7180" max="7180" width="17.109375" customWidth="1"/>
    <col min="7426" max="7426" width="9.109375" customWidth="1"/>
    <col min="7427" max="7427" width="13.6640625" customWidth="1"/>
    <col min="7428" max="7428" width="18.33203125" customWidth="1"/>
    <col min="7429" max="7429" width="22.44140625" customWidth="1"/>
    <col min="7433" max="7433" width="9.109375" customWidth="1"/>
    <col min="7436" max="7436" width="17.109375" customWidth="1"/>
    <col min="7682" max="7682" width="9.109375" customWidth="1"/>
    <col min="7683" max="7683" width="13.6640625" customWidth="1"/>
    <col min="7684" max="7684" width="18.33203125" customWidth="1"/>
    <col min="7685" max="7685" width="22.44140625" customWidth="1"/>
    <col min="7689" max="7689" width="9.109375" customWidth="1"/>
    <col min="7692" max="7692" width="17.109375" customWidth="1"/>
    <col min="7938" max="7938" width="9.109375" customWidth="1"/>
    <col min="7939" max="7939" width="13.6640625" customWidth="1"/>
    <col min="7940" max="7940" width="18.33203125" customWidth="1"/>
    <col min="7941" max="7941" width="22.44140625" customWidth="1"/>
    <col min="7945" max="7945" width="9.109375" customWidth="1"/>
    <col min="7948" max="7948" width="17.109375" customWidth="1"/>
    <col min="8194" max="8194" width="9.109375" customWidth="1"/>
    <col min="8195" max="8195" width="13.6640625" customWidth="1"/>
    <col min="8196" max="8196" width="18.33203125" customWidth="1"/>
    <col min="8197" max="8197" width="22.44140625" customWidth="1"/>
    <col min="8201" max="8201" width="9.109375" customWidth="1"/>
    <col min="8204" max="8204" width="17.109375" customWidth="1"/>
    <col min="8450" max="8450" width="9.109375" customWidth="1"/>
    <col min="8451" max="8451" width="13.6640625" customWidth="1"/>
    <col min="8452" max="8452" width="18.33203125" customWidth="1"/>
    <col min="8453" max="8453" width="22.44140625" customWidth="1"/>
    <col min="8457" max="8457" width="9.109375" customWidth="1"/>
    <col min="8460" max="8460" width="17.109375" customWidth="1"/>
    <col min="8706" max="8706" width="9.109375" customWidth="1"/>
    <col min="8707" max="8707" width="13.6640625" customWidth="1"/>
    <col min="8708" max="8708" width="18.33203125" customWidth="1"/>
    <col min="8709" max="8709" width="22.44140625" customWidth="1"/>
    <col min="8713" max="8713" width="9.109375" customWidth="1"/>
    <col min="8716" max="8716" width="17.109375" customWidth="1"/>
    <col min="8962" max="8962" width="9.109375" customWidth="1"/>
    <col min="8963" max="8963" width="13.6640625" customWidth="1"/>
    <col min="8964" max="8964" width="18.33203125" customWidth="1"/>
    <col min="8965" max="8965" width="22.44140625" customWidth="1"/>
    <col min="8969" max="8969" width="9.109375" customWidth="1"/>
    <col min="8972" max="8972" width="17.109375" customWidth="1"/>
    <col min="9218" max="9218" width="9.109375" customWidth="1"/>
    <col min="9219" max="9219" width="13.6640625" customWidth="1"/>
    <col min="9220" max="9220" width="18.33203125" customWidth="1"/>
    <col min="9221" max="9221" width="22.44140625" customWidth="1"/>
    <col min="9225" max="9225" width="9.109375" customWidth="1"/>
    <col min="9228" max="9228" width="17.109375" customWidth="1"/>
    <col min="9474" max="9474" width="9.109375" customWidth="1"/>
    <col min="9475" max="9475" width="13.6640625" customWidth="1"/>
    <col min="9476" max="9476" width="18.33203125" customWidth="1"/>
    <col min="9477" max="9477" width="22.44140625" customWidth="1"/>
    <col min="9481" max="9481" width="9.109375" customWidth="1"/>
    <col min="9484" max="9484" width="17.109375" customWidth="1"/>
    <col min="9730" max="9730" width="9.109375" customWidth="1"/>
    <col min="9731" max="9731" width="13.6640625" customWidth="1"/>
    <col min="9732" max="9732" width="18.33203125" customWidth="1"/>
    <col min="9733" max="9733" width="22.44140625" customWidth="1"/>
    <col min="9737" max="9737" width="9.109375" customWidth="1"/>
    <col min="9740" max="9740" width="17.109375" customWidth="1"/>
    <col min="9986" max="9986" width="9.109375" customWidth="1"/>
    <col min="9987" max="9987" width="13.6640625" customWidth="1"/>
    <col min="9988" max="9988" width="18.33203125" customWidth="1"/>
    <col min="9989" max="9989" width="22.44140625" customWidth="1"/>
    <col min="9993" max="9993" width="9.109375" customWidth="1"/>
    <col min="9996" max="9996" width="17.109375" customWidth="1"/>
    <col min="10242" max="10242" width="9.109375" customWidth="1"/>
    <col min="10243" max="10243" width="13.6640625" customWidth="1"/>
    <col min="10244" max="10244" width="18.33203125" customWidth="1"/>
    <col min="10245" max="10245" width="22.44140625" customWidth="1"/>
    <col min="10249" max="10249" width="9.109375" customWidth="1"/>
    <col min="10252" max="10252" width="17.109375" customWidth="1"/>
    <col min="10498" max="10498" width="9.109375" customWidth="1"/>
    <col min="10499" max="10499" width="13.6640625" customWidth="1"/>
    <col min="10500" max="10500" width="18.33203125" customWidth="1"/>
    <col min="10501" max="10501" width="22.44140625" customWidth="1"/>
    <col min="10505" max="10505" width="9.109375" customWidth="1"/>
    <col min="10508" max="10508" width="17.109375" customWidth="1"/>
    <col min="10754" max="10754" width="9.109375" customWidth="1"/>
    <col min="10755" max="10755" width="13.6640625" customWidth="1"/>
    <col min="10756" max="10756" width="18.33203125" customWidth="1"/>
    <col min="10757" max="10757" width="22.44140625" customWidth="1"/>
    <col min="10761" max="10761" width="9.109375" customWidth="1"/>
    <col min="10764" max="10764" width="17.109375" customWidth="1"/>
    <col min="11010" max="11010" width="9.109375" customWidth="1"/>
    <col min="11011" max="11011" width="13.6640625" customWidth="1"/>
    <col min="11012" max="11012" width="18.33203125" customWidth="1"/>
    <col min="11013" max="11013" width="22.44140625" customWidth="1"/>
    <col min="11017" max="11017" width="9.109375" customWidth="1"/>
    <col min="11020" max="11020" width="17.109375" customWidth="1"/>
    <col min="11266" max="11266" width="9.109375" customWidth="1"/>
    <col min="11267" max="11267" width="13.6640625" customWidth="1"/>
    <col min="11268" max="11268" width="18.33203125" customWidth="1"/>
    <col min="11269" max="11269" width="22.44140625" customWidth="1"/>
    <col min="11273" max="11273" width="9.109375" customWidth="1"/>
    <col min="11276" max="11276" width="17.109375" customWidth="1"/>
    <col min="11522" max="11522" width="9.109375" customWidth="1"/>
    <col min="11523" max="11523" width="13.6640625" customWidth="1"/>
    <col min="11524" max="11524" width="18.33203125" customWidth="1"/>
    <col min="11525" max="11525" width="22.44140625" customWidth="1"/>
    <col min="11529" max="11529" width="9.109375" customWidth="1"/>
    <col min="11532" max="11532" width="17.109375" customWidth="1"/>
    <col min="11778" max="11778" width="9.109375" customWidth="1"/>
    <col min="11779" max="11779" width="13.6640625" customWidth="1"/>
    <col min="11780" max="11780" width="18.33203125" customWidth="1"/>
    <col min="11781" max="11781" width="22.44140625" customWidth="1"/>
    <col min="11785" max="11785" width="9.109375" customWidth="1"/>
    <col min="11788" max="11788" width="17.109375" customWidth="1"/>
    <col min="12034" max="12034" width="9.109375" customWidth="1"/>
    <col min="12035" max="12035" width="13.6640625" customWidth="1"/>
    <col min="12036" max="12036" width="18.33203125" customWidth="1"/>
    <col min="12037" max="12037" width="22.44140625" customWidth="1"/>
    <col min="12041" max="12041" width="9.109375" customWidth="1"/>
    <col min="12044" max="12044" width="17.109375" customWidth="1"/>
    <col min="12290" max="12290" width="9.109375" customWidth="1"/>
    <col min="12291" max="12291" width="13.6640625" customWidth="1"/>
    <col min="12292" max="12292" width="18.33203125" customWidth="1"/>
    <col min="12293" max="12293" width="22.44140625" customWidth="1"/>
    <col min="12297" max="12297" width="9.109375" customWidth="1"/>
    <col min="12300" max="12300" width="17.109375" customWidth="1"/>
    <col min="12546" max="12546" width="9.109375" customWidth="1"/>
    <col min="12547" max="12547" width="13.6640625" customWidth="1"/>
    <col min="12548" max="12548" width="18.33203125" customWidth="1"/>
    <col min="12549" max="12549" width="22.44140625" customWidth="1"/>
    <col min="12553" max="12553" width="9.109375" customWidth="1"/>
    <col min="12556" max="12556" width="17.109375" customWidth="1"/>
    <col min="12802" max="12802" width="9.109375" customWidth="1"/>
    <col min="12803" max="12803" width="13.6640625" customWidth="1"/>
    <col min="12804" max="12804" width="18.33203125" customWidth="1"/>
    <col min="12805" max="12805" width="22.44140625" customWidth="1"/>
    <col min="12809" max="12809" width="9.109375" customWidth="1"/>
    <col min="12812" max="12812" width="17.109375" customWidth="1"/>
    <col min="13058" max="13058" width="9.109375" customWidth="1"/>
    <col min="13059" max="13059" width="13.6640625" customWidth="1"/>
    <col min="13060" max="13060" width="18.33203125" customWidth="1"/>
    <col min="13061" max="13061" width="22.44140625" customWidth="1"/>
    <col min="13065" max="13065" width="9.109375" customWidth="1"/>
    <col min="13068" max="13068" width="17.109375" customWidth="1"/>
    <col min="13314" max="13314" width="9.109375" customWidth="1"/>
    <col min="13315" max="13315" width="13.6640625" customWidth="1"/>
    <col min="13316" max="13316" width="18.33203125" customWidth="1"/>
    <col min="13317" max="13317" width="22.44140625" customWidth="1"/>
    <col min="13321" max="13321" width="9.109375" customWidth="1"/>
    <col min="13324" max="13324" width="17.109375" customWidth="1"/>
    <col min="13570" max="13570" width="9.109375" customWidth="1"/>
    <col min="13571" max="13571" width="13.6640625" customWidth="1"/>
    <col min="13572" max="13572" width="18.33203125" customWidth="1"/>
    <col min="13573" max="13573" width="22.44140625" customWidth="1"/>
    <col min="13577" max="13577" width="9.109375" customWidth="1"/>
    <col min="13580" max="13580" width="17.109375" customWidth="1"/>
    <col min="13826" max="13826" width="9.109375" customWidth="1"/>
    <col min="13827" max="13827" width="13.6640625" customWidth="1"/>
    <col min="13828" max="13828" width="18.33203125" customWidth="1"/>
    <col min="13829" max="13829" width="22.44140625" customWidth="1"/>
    <col min="13833" max="13833" width="9.109375" customWidth="1"/>
    <col min="13836" max="13836" width="17.109375" customWidth="1"/>
    <col min="14082" max="14082" width="9.109375" customWidth="1"/>
    <col min="14083" max="14083" width="13.6640625" customWidth="1"/>
    <col min="14084" max="14084" width="18.33203125" customWidth="1"/>
    <col min="14085" max="14085" width="22.44140625" customWidth="1"/>
    <col min="14089" max="14089" width="9.109375" customWidth="1"/>
    <col min="14092" max="14092" width="17.109375" customWidth="1"/>
    <col min="14338" max="14338" width="9.109375" customWidth="1"/>
    <col min="14339" max="14339" width="13.6640625" customWidth="1"/>
    <col min="14340" max="14340" width="18.33203125" customWidth="1"/>
    <col min="14341" max="14341" width="22.44140625" customWidth="1"/>
    <col min="14345" max="14345" width="9.109375" customWidth="1"/>
    <col min="14348" max="14348" width="17.109375" customWidth="1"/>
    <col min="14594" max="14594" width="9.109375" customWidth="1"/>
    <col min="14595" max="14595" width="13.6640625" customWidth="1"/>
    <col min="14596" max="14596" width="18.33203125" customWidth="1"/>
    <col min="14597" max="14597" width="22.44140625" customWidth="1"/>
    <col min="14601" max="14601" width="9.109375" customWidth="1"/>
    <col min="14604" max="14604" width="17.109375" customWidth="1"/>
    <col min="14850" max="14850" width="9.109375" customWidth="1"/>
    <col min="14851" max="14851" width="13.6640625" customWidth="1"/>
    <col min="14852" max="14852" width="18.33203125" customWidth="1"/>
    <col min="14853" max="14853" width="22.44140625" customWidth="1"/>
    <col min="14857" max="14857" width="9.109375" customWidth="1"/>
    <col min="14860" max="14860" width="17.109375" customWidth="1"/>
    <col min="15106" max="15106" width="9.109375" customWidth="1"/>
    <col min="15107" max="15107" width="13.6640625" customWidth="1"/>
    <col min="15108" max="15108" width="18.33203125" customWidth="1"/>
    <col min="15109" max="15109" width="22.44140625" customWidth="1"/>
    <col min="15113" max="15113" width="9.109375" customWidth="1"/>
    <col min="15116" max="15116" width="17.109375" customWidth="1"/>
    <col min="15362" max="15362" width="9.109375" customWidth="1"/>
    <col min="15363" max="15363" width="13.6640625" customWidth="1"/>
    <col min="15364" max="15364" width="18.33203125" customWidth="1"/>
    <col min="15365" max="15365" width="22.44140625" customWidth="1"/>
    <col min="15369" max="15369" width="9.109375" customWidth="1"/>
    <col min="15372" max="15372" width="17.109375" customWidth="1"/>
    <col min="15618" max="15618" width="9.109375" customWidth="1"/>
    <col min="15619" max="15619" width="13.6640625" customWidth="1"/>
    <col min="15620" max="15620" width="18.33203125" customWidth="1"/>
    <col min="15621" max="15621" width="22.44140625" customWidth="1"/>
    <col min="15625" max="15625" width="9.109375" customWidth="1"/>
    <col min="15628" max="15628" width="17.109375" customWidth="1"/>
    <col min="15874" max="15874" width="9.109375" customWidth="1"/>
    <col min="15875" max="15875" width="13.6640625" customWidth="1"/>
    <col min="15876" max="15876" width="18.33203125" customWidth="1"/>
    <col min="15877" max="15877" width="22.44140625" customWidth="1"/>
    <col min="15881" max="15881" width="9.109375" customWidth="1"/>
    <col min="15884" max="15884" width="17.109375" customWidth="1"/>
    <col min="16130" max="16130" width="9.109375" customWidth="1"/>
    <col min="16131" max="16131" width="13.6640625" customWidth="1"/>
    <col min="16132" max="16132" width="18.33203125" customWidth="1"/>
    <col min="16133" max="16133" width="22.44140625" customWidth="1"/>
    <col min="16137" max="16137" width="9.109375" customWidth="1"/>
    <col min="16140" max="16140" width="17.109375" customWidth="1"/>
  </cols>
  <sheetData>
    <row r="1" spans="1:9" x14ac:dyDescent="0.3">
      <c r="D1" s="269"/>
      <c r="E1" s="269"/>
      <c r="F1" s="270"/>
      <c r="G1" s="270"/>
    </row>
    <row r="2" spans="1:9" ht="21" x14ac:dyDescent="0.4">
      <c r="A2" s="271" t="s">
        <v>225</v>
      </c>
    </row>
    <row r="4" spans="1:9" s="272" customFormat="1" ht="43.2" x14ac:dyDescent="0.3">
      <c r="A4" s="272" t="s">
        <v>226</v>
      </c>
      <c r="B4" s="272" t="s">
        <v>253</v>
      </c>
      <c r="C4" s="272" t="s">
        <v>254</v>
      </c>
      <c r="D4" s="272" t="s">
        <v>255</v>
      </c>
      <c r="E4" s="272" t="s">
        <v>268</v>
      </c>
      <c r="F4" s="272" t="s">
        <v>227</v>
      </c>
      <c r="G4" s="272" t="s">
        <v>243</v>
      </c>
      <c r="H4" s="272" t="s">
        <v>228</v>
      </c>
      <c r="I4" s="273" t="s">
        <v>229</v>
      </c>
    </row>
    <row r="5" spans="1:9" s="274" customFormat="1" x14ac:dyDescent="0.3">
      <c r="A5" t="s">
        <v>232</v>
      </c>
      <c r="B5" t="s">
        <v>247</v>
      </c>
      <c r="C5" t="s">
        <v>248</v>
      </c>
      <c r="D5" s="276" t="s">
        <v>249</v>
      </c>
      <c r="E5" s="276"/>
      <c r="F5" s="283">
        <v>2</v>
      </c>
      <c r="G5" s="283">
        <v>50</v>
      </c>
      <c r="H5" s="283">
        <v>276</v>
      </c>
      <c r="I5" s="277">
        <f>(H5/G5)*F5*PigWin!$D$6</f>
        <v>25.060799999999997</v>
      </c>
    </row>
    <row r="6" spans="1:9" x14ac:dyDescent="0.3">
      <c r="B6" t="s">
        <v>230</v>
      </c>
      <c r="C6" s="500" t="s">
        <v>238</v>
      </c>
      <c r="D6" s="501" t="s">
        <v>239</v>
      </c>
      <c r="E6" s="275"/>
      <c r="F6" s="502">
        <v>2</v>
      </c>
      <c r="G6" s="502">
        <v>100</v>
      </c>
      <c r="H6" s="502">
        <v>100</v>
      </c>
      <c r="I6" s="499">
        <f>(H6/G6)*F6*PigWin!$D$6</f>
        <v>4.54</v>
      </c>
    </row>
    <row r="7" spans="1:9" x14ac:dyDescent="0.3">
      <c r="B7" t="s">
        <v>231</v>
      </c>
      <c r="C7" s="500"/>
      <c r="D7" s="501"/>
      <c r="E7" s="275"/>
      <c r="F7" s="502"/>
      <c r="G7" s="502"/>
      <c r="H7" s="502"/>
      <c r="I7" s="499"/>
    </row>
    <row r="8" spans="1:9" ht="21.6" x14ac:dyDescent="0.3">
      <c r="B8" t="s">
        <v>240</v>
      </c>
      <c r="C8" t="s">
        <v>241</v>
      </c>
      <c r="D8" s="276" t="s">
        <v>242</v>
      </c>
      <c r="E8" s="276"/>
      <c r="F8" s="284">
        <f>12*(280/100)</f>
        <v>33.599999999999994</v>
      </c>
      <c r="G8" s="284">
        <v>2500</v>
      </c>
      <c r="H8" s="284">
        <v>758</v>
      </c>
      <c r="I8" s="280">
        <f>(H8/G8)*F8*PigWin!$D$6</f>
        <v>23.125670399999997</v>
      </c>
    </row>
    <row r="9" spans="1:9" x14ac:dyDescent="0.3">
      <c r="D9" s="276"/>
      <c r="E9" s="276"/>
      <c r="I9" s="280"/>
    </row>
    <row r="10" spans="1:9" ht="21.6" x14ac:dyDescent="0.3">
      <c r="A10" t="s">
        <v>233</v>
      </c>
      <c r="B10" t="s">
        <v>234</v>
      </c>
      <c r="C10" t="s">
        <v>235</v>
      </c>
      <c r="D10" s="276" t="s">
        <v>236</v>
      </c>
      <c r="E10" s="276"/>
      <c r="F10" s="285">
        <v>1</v>
      </c>
      <c r="G10" s="285">
        <v>100</v>
      </c>
      <c r="H10" s="285">
        <v>1007</v>
      </c>
      <c r="I10" s="280">
        <f>(H10/G10)*F10*(PigWin!D11*PigWin!D6)</f>
        <v>306.70050761421322</v>
      </c>
    </row>
    <row r="11" spans="1:9" ht="15" thickBot="1" x14ac:dyDescent="0.35">
      <c r="A11" s="267"/>
      <c r="B11" s="267" t="s">
        <v>250</v>
      </c>
      <c r="C11" s="267" t="s">
        <v>251</v>
      </c>
      <c r="D11" s="278" t="s">
        <v>252</v>
      </c>
      <c r="E11" s="278"/>
      <c r="F11" s="286">
        <v>1</v>
      </c>
      <c r="G11" s="286">
        <v>1000</v>
      </c>
      <c r="H11" s="286">
        <v>1621</v>
      </c>
      <c r="I11" s="287">
        <f>(H11/G11)*F11*(PigWin!D11*PigWin!D6)</f>
        <v>49.370558375634516</v>
      </c>
    </row>
    <row r="12" spans="1:9" ht="15" thickTop="1" x14ac:dyDescent="0.3">
      <c r="G12" s="212" t="s">
        <v>256</v>
      </c>
      <c r="I12" s="279">
        <f>SUM(I5:I11)</f>
        <v>408.79753638984772</v>
      </c>
    </row>
    <row r="13" spans="1:9" x14ac:dyDescent="0.3">
      <c r="I13" s="280"/>
    </row>
    <row r="14" spans="1:9" x14ac:dyDescent="0.3">
      <c r="A14" t="s">
        <v>237</v>
      </c>
      <c r="I14" s="280">
        <f>25000/406</f>
        <v>61.576354679802954</v>
      </c>
    </row>
    <row r="16" spans="1:9" x14ac:dyDescent="0.3">
      <c r="I16" s="280"/>
    </row>
    <row r="17" spans="1:9" ht="28.8" x14ac:dyDescent="0.3">
      <c r="A17" t="s">
        <v>258</v>
      </c>
      <c r="B17" t="s">
        <v>266</v>
      </c>
      <c r="C17" t="s">
        <v>244</v>
      </c>
      <c r="D17" s="213" t="s">
        <v>246</v>
      </c>
      <c r="F17" s="282">
        <v>0.2</v>
      </c>
      <c r="G17" s="282">
        <v>100</v>
      </c>
      <c r="H17" s="282">
        <v>174</v>
      </c>
      <c r="I17" s="280">
        <f>((H17/G17)*F17*(PigWin!D9*PigWin!D6))/2</f>
        <v>6.126580792817113</v>
      </c>
    </row>
    <row r="18" spans="1:9" ht="28.8" x14ac:dyDescent="0.3">
      <c r="B18" t="s">
        <v>267</v>
      </c>
      <c r="C18" t="s">
        <v>245</v>
      </c>
      <c r="D18" s="213" t="s">
        <v>246</v>
      </c>
      <c r="F18" s="282">
        <v>0.6</v>
      </c>
      <c r="G18" s="282">
        <v>1200</v>
      </c>
      <c r="H18" s="282">
        <v>1102</v>
      </c>
      <c r="I18" s="280">
        <f>((H18/G18)*F18*(PigWin!D9*PigWin!D6))/2</f>
        <v>9.7004195886270939</v>
      </c>
    </row>
    <row r="19" spans="1:9" x14ac:dyDescent="0.3">
      <c r="D19" s="422"/>
      <c r="E19" s="422"/>
      <c r="F19" s="282"/>
      <c r="G19" s="282"/>
      <c r="H19" s="282"/>
      <c r="I19" s="280"/>
    </row>
    <row r="20" spans="1:9" ht="29.25" customHeight="1" x14ac:dyDescent="0.3">
      <c r="G20" s="427" t="s">
        <v>381</v>
      </c>
      <c r="I20" s="280"/>
    </row>
    <row r="21" spans="1:9" x14ac:dyDescent="0.3">
      <c r="A21" t="s">
        <v>155</v>
      </c>
      <c r="B21" t="s">
        <v>247</v>
      </c>
      <c r="E21" s="312">
        <f>691/3600</f>
        <v>0.19194444444444445</v>
      </c>
      <c r="F21" s="282"/>
      <c r="G21" s="425">
        <v>2.5</v>
      </c>
      <c r="H21" s="282"/>
      <c r="I21" s="280">
        <f>E21*G21*PigWin!$D$9</f>
        <v>7.4431815954053668</v>
      </c>
    </row>
    <row r="22" spans="1:9" x14ac:dyDescent="0.3">
      <c r="A22" t="s">
        <v>155</v>
      </c>
      <c r="B22" t="s">
        <v>264</v>
      </c>
      <c r="E22" s="312">
        <f>443/3600</f>
        <v>0.12305555555555556</v>
      </c>
      <c r="F22" s="282"/>
      <c r="G22" s="425">
        <v>3</v>
      </c>
      <c r="H22" s="282"/>
      <c r="I22" s="280">
        <f>E22*G22*PigWin!$D$9</f>
        <v>5.7261871723842148</v>
      </c>
    </row>
    <row r="23" spans="1:9" x14ac:dyDescent="0.3">
      <c r="A23" t="s">
        <v>257</v>
      </c>
      <c r="B23" t="s">
        <v>264</v>
      </c>
      <c r="E23" s="312">
        <f>43/3600</f>
        <v>1.1944444444444445E-2</v>
      </c>
      <c r="F23" s="282"/>
      <c r="G23" s="425">
        <v>5</v>
      </c>
      <c r="H23" s="282"/>
      <c r="I23" s="280">
        <f>E23*G23*PigWin!$D$11</f>
        <v>0.80129996943879189</v>
      </c>
    </row>
    <row r="24" spans="1:9" x14ac:dyDescent="0.3">
      <c r="A24" t="s">
        <v>257</v>
      </c>
      <c r="B24" t="s">
        <v>259</v>
      </c>
      <c r="E24" s="312">
        <f>34/3600</f>
        <v>9.4444444444444445E-3</v>
      </c>
      <c r="F24" s="282"/>
      <c r="G24" s="425">
        <v>25</v>
      </c>
      <c r="H24" s="282"/>
      <c r="I24" s="280">
        <f>E24*G24*PigWin!$D$11</f>
        <v>3.1679301117347585</v>
      </c>
    </row>
    <row r="25" spans="1:9" x14ac:dyDescent="0.3">
      <c r="A25" t="s">
        <v>260</v>
      </c>
      <c r="B25" t="s">
        <v>170</v>
      </c>
      <c r="D25" s="422"/>
      <c r="E25" s="312"/>
      <c r="F25" s="282"/>
      <c r="G25" s="425"/>
      <c r="H25" s="282"/>
      <c r="I25" s="280">
        <v>10</v>
      </c>
    </row>
    <row r="26" spans="1:9" x14ac:dyDescent="0.3">
      <c r="A26" t="s">
        <v>260</v>
      </c>
      <c r="B26" t="s">
        <v>264</v>
      </c>
      <c r="E26" s="312">
        <f>17/300</f>
        <v>5.6666666666666664E-2</v>
      </c>
      <c r="F26" s="282"/>
      <c r="G26" s="425">
        <v>130</v>
      </c>
      <c r="H26" s="282"/>
      <c r="I26" s="277">
        <f t="shared" ref="I26:I30" si="0">E26*G26</f>
        <v>7.3666666666666663</v>
      </c>
    </row>
    <row r="27" spans="1:9" x14ac:dyDescent="0.3">
      <c r="A27" t="s">
        <v>260</v>
      </c>
      <c r="B27" t="s">
        <v>265</v>
      </c>
      <c r="E27" s="312">
        <f>35/300</f>
        <v>0.11666666666666667</v>
      </c>
      <c r="F27" s="282"/>
      <c r="G27" s="425">
        <v>75</v>
      </c>
      <c r="H27" s="282"/>
      <c r="I27" s="280">
        <f t="shared" si="0"/>
        <v>8.75</v>
      </c>
    </row>
    <row r="28" spans="1:9" x14ac:dyDescent="0.3">
      <c r="A28" t="s">
        <v>260</v>
      </c>
      <c r="B28" t="s">
        <v>261</v>
      </c>
      <c r="E28" s="312">
        <f>74/300</f>
        <v>0.24666666666666667</v>
      </c>
      <c r="F28" s="282"/>
      <c r="G28" s="425">
        <v>150</v>
      </c>
      <c r="H28" s="282"/>
      <c r="I28" s="280">
        <f t="shared" si="0"/>
        <v>37</v>
      </c>
    </row>
    <row r="29" spans="1:9" x14ac:dyDescent="0.3">
      <c r="A29" t="s">
        <v>260</v>
      </c>
      <c r="B29" t="s">
        <v>262</v>
      </c>
      <c r="E29" s="312">
        <f>7/300</f>
        <v>2.3333333333333334E-2</v>
      </c>
      <c r="F29" s="282"/>
      <c r="G29" s="425">
        <v>200</v>
      </c>
      <c r="H29" s="282"/>
      <c r="I29" s="280">
        <f t="shared" si="0"/>
        <v>4.666666666666667</v>
      </c>
    </row>
    <row r="30" spans="1:9" ht="15" thickBot="1" x14ac:dyDescent="0.35">
      <c r="A30" s="267" t="s">
        <v>260</v>
      </c>
      <c r="B30" s="267" t="s">
        <v>263</v>
      </c>
      <c r="C30" s="267"/>
      <c r="D30" s="281"/>
      <c r="E30" s="313">
        <f>2/300</f>
        <v>6.6666666666666671E-3</v>
      </c>
      <c r="F30" s="291"/>
      <c r="G30" s="426">
        <v>130</v>
      </c>
      <c r="H30" s="291"/>
      <c r="I30" s="287">
        <f t="shared" si="0"/>
        <v>0.8666666666666667</v>
      </c>
    </row>
    <row r="31" spans="1:9" s="212" customFormat="1" ht="15" thickTop="1" x14ac:dyDescent="0.3">
      <c r="B31" s="212" t="s">
        <v>383</v>
      </c>
      <c r="D31" s="272"/>
      <c r="E31" s="272"/>
      <c r="I31" s="279">
        <f>SUM(I12:I30)</f>
        <v>571.98949030005781</v>
      </c>
    </row>
    <row r="33" spans="1:9" x14ac:dyDescent="0.3">
      <c r="A33" t="s">
        <v>306</v>
      </c>
      <c r="I33" s="280">
        <f>(2800+(41*406))/'Driftkalkyl - Smågrisar'!B4</f>
        <v>47.896551724137929</v>
      </c>
    </row>
    <row r="34" spans="1:9" x14ac:dyDescent="0.3">
      <c r="A34" t="s">
        <v>380</v>
      </c>
      <c r="B34" t="s">
        <v>382</v>
      </c>
      <c r="I34" s="280">
        <f>(1600+950)/'Driftkalkyl - Smågrisar'!B4</f>
        <v>6.2807881773399012</v>
      </c>
    </row>
  </sheetData>
  <sheetProtection algorithmName="SHA-512" hashValue="1VoEu5COw/7lX7cXl5L7bkJgWwckhdrQzZLdpkTRxABvOOVZWOF9WYIJQpXnFGOBE7H4nTzSJOa2cd8HL/dz+g==" saltValue="GPeuN/47VDPCzW17xk2orQ==" spinCount="100000" sheet="1" selectLockedCells="1" selectUnlockedCells="1"/>
  <mergeCells count="6">
    <mergeCell ref="I6:I7"/>
    <mergeCell ref="C6:C7"/>
    <mergeCell ref="D6:D7"/>
    <mergeCell ref="F6:F7"/>
    <mergeCell ref="G6:G7"/>
    <mergeCell ref="H6:H7"/>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
  <sheetViews>
    <sheetView topLeftCell="S1" workbookViewId="0">
      <selection sqref="A1:R1048576"/>
    </sheetView>
  </sheetViews>
  <sheetFormatPr defaultRowHeight="14.4" x14ac:dyDescent="0.3"/>
  <cols>
    <col min="1" max="1" width="10.44140625" hidden="1" customWidth="1"/>
    <col min="2" max="3" width="10.44140625" style="317" hidden="1" customWidth="1"/>
    <col min="4" max="4" width="10.44140625" style="318" hidden="1" customWidth="1"/>
    <col min="5" max="6" width="10.44140625" style="329" hidden="1" customWidth="1"/>
    <col min="7" max="7" width="10.44140625" style="319" hidden="1" customWidth="1"/>
    <col min="8" max="8" width="10.44140625" style="321" hidden="1" customWidth="1"/>
    <col min="9" max="18" width="10.44140625" hidden="1" customWidth="1"/>
  </cols>
  <sheetData>
    <row r="2" spans="1:16" ht="43.2" x14ac:dyDescent="0.3">
      <c r="B2" s="317" t="s">
        <v>295</v>
      </c>
      <c r="C2" s="317" t="s">
        <v>293</v>
      </c>
      <c r="D2" s="318" t="s">
        <v>294</v>
      </c>
      <c r="E2" s="317" t="s">
        <v>296</v>
      </c>
      <c r="F2" s="317" t="s">
        <v>297</v>
      </c>
      <c r="G2" s="319" t="s">
        <v>312</v>
      </c>
      <c r="H2" s="319" t="s">
        <v>311</v>
      </c>
      <c r="M2" s="212" t="s">
        <v>409</v>
      </c>
    </row>
    <row r="3" spans="1:16" x14ac:dyDescent="0.3">
      <c r="A3" t="s">
        <v>310</v>
      </c>
      <c r="B3" s="317">
        <v>37</v>
      </c>
      <c r="C3" s="317">
        <v>1</v>
      </c>
      <c r="D3" s="320">
        <f>C3*B3*PigWin!$D$6</f>
        <v>83.99</v>
      </c>
      <c r="E3" s="333">
        <v>0.98</v>
      </c>
      <c r="F3" s="333"/>
      <c r="G3" s="504">
        <f>7.8*(1-I5)</f>
        <v>6.2605263157894733</v>
      </c>
      <c r="H3" s="326"/>
      <c r="M3" t="s">
        <v>413</v>
      </c>
      <c r="N3">
        <v>2.95</v>
      </c>
      <c r="O3" s="423">
        <f>B5/(B5+B6)</f>
        <v>0.2608695652173913</v>
      </c>
      <c r="P3">
        <f>N3*O3</f>
        <v>0.76956521739130435</v>
      </c>
    </row>
    <row r="4" spans="1:16" x14ac:dyDescent="0.3">
      <c r="A4" t="s">
        <v>309</v>
      </c>
      <c r="B4" s="317">
        <f>7*7</f>
        <v>49</v>
      </c>
      <c r="C4" s="317">
        <f>0.05*13</f>
        <v>0.65</v>
      </c>
      <c r="D4" s="320">
        <f>C4*B4*PigWin!D6</f>
        <v>72.299500000000009</v>
      </c>
      <c r="E4" s="333">
        <v>1.2</v>
      </c>
      <c r="F4" s="333"/>
      <c r="G4" s="504"/>
      <c r="H4" s="326"/>
      <c r="M4" t="s">
        <v>412</v>
      </c>
      <c r="N4">
        <v>2.27</v>
      </c>
      <c r="O4" s="424">
        <f>1-O3</f>
        <v>0.73913043478260865</v>
      </c>
      <c r="P4">
        <f>N4*O4</f>
        <v>1.6778260869565216</v>
      </c>
    </row>
    <row r="5" spans="1:16" ht="23.25" customHeight="1" x14ac:dyDescent="0.3">
      <c r="A5" t="s">
        <v>298</v>
      </c>
      <c r="B5" s="317">
        <v>30</v>
      </c>
      <c r="C5" s="317">
        <v>1.7</v>
      </c>
      <c r="D5" s="320">
        <f>(C5)*B5*PigWin!$D$6</f>
        <v>115.77</v>
      </c>
      <c r="E5" s="333"/>
      <c r="F5" s="334">
        <v>0.44</v>
      </c>
      <c r="G5" s="504"/>
      <c r="H5" s="326">
        <f>(8.7*I5)</f>
        <v>1.7171052631578947</v>
      </c>
      <c r="I5" s="332">
        <f>B5/(B3+B5+B6)</f>
        <v>0.19736842105263158</v>
      </c>
      <c r="J5" s="505" t="s">
        <v>301</v>
      </c>
      <c r="K5" s="505"/>
      <c r="M5" t="s">
        <v>193</v>
      </c>
      <c r="P5" s="212">
        <f>SUM(P3:P4)</f>
        <v>2.4473913043478257</v>
      </c>
    </row>
    <row r="6" spans="1:16" x14ac:dyDescent="0.3">
      <c r="A6" t="s">
        <v>299</v>
      </c>
      <c r="B6" s="317">
        <f>115-B5</f>
        <v>85</v>
      </c>
      <c r="C6" s="317">
        <v>0.2</v>
      </c>
      <c r="D6" s="320">
        <f>(C6)*B6*PigWin!$D$6</f>
        <v>38.590000000000003</v>
      </c>
      <c r="E6" s="333">
        <v>0.83</v>
      </c>
      <c r="F6" s="333"/>
      <c r="G6" s="504"/>
      <c r="H6" s="326"/>
    </row>
    <row r="7" spans="1:16" x14ac:dyDescent="0.3">
      <c r="G7" s="325"/>
      <c r="H7" s="326"/>
      <c r="M7" t="s">
        <v>411</v>
      </c>
      <c r="N7" s="212">
        <v>0.81</v>
      </c>
      <c r="O7" t="s">
        <v>414</v>
      </c>
    </row>
    <row r="8" spans="1:16" ht="15" thickBot="1" x14ac:dyDescent="0.35">
      <c r="A8" s="267"/>
      <c r="B8" s="322"/>
      <c r="C8" s="322"/>
      <c r="D8" s="323"/>
      <c r="E8" s="331"/>
      <c r="F8" s="331"/>
      <c r="G8" s="327"/>
      <c r="H8" s="328"/>
      <c r="I8" s="267"/>
    </row>
    <row r="9" spans="1:16" ht="15" thickTop="1" x14ac:dyDescent="0.3">
      <c r="A9" s="324" t="s">
        <v>193</v>
      </c>
      <c r="D9" s="320">
        <f>SUM(D3:D8)</f>
        <v>310.64949999999999</v>
      </c>
      <c r="E9" s="330"/>
      <c r="F9" s="330"/>
      <c r="G9" s="325">
        <f>SUM(G3:G8)</f>
        <v>6.2605263157894733</v>
      </c>
      <c r="H9" s="326">
        <f>SUM(H3:H8)</f>
        <v>1.7171052631578947</v>
      </c>
      <c r="M9" t="s">
        <v>410</v>
      </c>
      <c r="N9">
        <v>0.04</v>
      </c>
      <c r="O9" t="s">
        <v>415</v>
      </c>
    </row>
    <row r="10" spans="1:16" x14ac:dyDescent="0.3">
      <c r="A10" s="324" t="s">
        <v>300</v>
      </c>
      <c r="G10" s="325">
        <f>G9/12*10</f>
        <v>5.2171052631578938</v>
      </c>
      <c r="H10" s="325">
        <f>H9/12*10</f>
        <v>1.4309210526315788</v>
      </c>
      <c r="I10" t="s">
        <v>317</v>
      </c>
      <c r="N10">
        <f>N9*PigWin!D5*'Driftkalkyl - Smågrisar'!B4</f>
        <v>487.2</v>
      </c>
      <c r="O10" t="s">
        <v>416</v>
      </c>
    </row>
    <row r="11" spans="1:16" x14ac:dyDescent="0.3">
      <c r="E11" s="503" t="s">
        <v>302</v>
      </c>
      <c r="F11" s="503"/>
      <c r="G11" s="319">
        <f>(0.2+0.1+0.07+0.03)*PigWin!D6</f>
        <v>0.90800000000000003</v>
      </c>
      <c r="N11" s="212">
        <f>N10/(34*3*24)</f>
        <v>0.19901960784313724</v>
      </c>
      <c r="O11" t="s">
        <v>417</v>
      </c>
    </row>
    <row r="12" spans="1:16" x14ac:dyDescent="0.3">
      <c r="F12" s="329" t="s">
        <v>193</v>
      </c>
      <c r="G12" s="325">
        <f>G10+((G11/12)*10)</f>
        <v>5.9737719298245606</v>
      </c>
    </row>
    <row r="14" spans="1:16" x14ac:dyDescent="0.3">
      <c r="P14" s="317"/>
    </row>
    <row r="15" spans="1:16" x14ac:dyDescent="0.3">
      <c r="P15" s="421"/>
    </row>
    <row r="16" spans="1:16" x14ac:dyDescent="0.3">
      <c r="O16" s="317"/>
      <c r="P16" s="317"/>
    </row>
    <row r="17" spans="15:16" x14ac:dyDescent="0.3">
      <c r="O17" s="317"/>
      <c r="P17" s="317"/>
    </row>
    <row r="18" spans="15:16" x14ac:dyDescent="0.3">
      <c r="O18" s="317"/>
      <c r="P18" s="317"/>
    </row>
    <row r="19" spans="15:16" x14ac:dyDescent="0.3">
      <c r="O19" s="317"/>
      <c r="P19" s="317"/>
    </row>
    <row r="20" spans="15:16" x14ac:dyDescent="0.3">
      <c r="O20" s="317"/>
      <c r="P20" s="317"/>
    </row>
    <row r="21" spans="15:16" x14ac:dyDescent="0.3">
      <c r="O21" s="317"/>
      <c r="P21" s="317"/>
    </row>
    <row r="22" spans="15:16" x14ac:dyDescent="0.3">
      <c r="O22" s="317"/>
      <c r="P22" s="317"/>
    </row>
  </sheetData>
  <sheetProtection algorithmName="SHA-512" hashValue="GZlRnGMilunHSXWVdTUhOsDG4f+avOS2SCtJ1WhEQYGo09E7bXOXTLzr85/ODW2BjxjmygCWb4Q7WN9wVhUlgQ==" saltValue="3LsPL+/elNF8xeBoZTQvxg==" spinCount="100000" sheet="1" selectLockedCells="1" selectUnlockedCells="1"/>
  <mergeCells count="3">
    <mergeCell ref="E11:F11"/>
    <mergeCell ref="G3:G6"/>
    <mergeCell ref="J5:K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3</vt:i4>
      </vt:variant>
    </vt:vector>
  </HeadingPairs>
  <TitlesOfParts>
    <vt:vector size="16" baseType="lpstr">
      <vt:lpstr>Intro</vt:lpstr>
      <vt:lpstr>Investeringskalkyl</vt:lpstr>
      <vt:lpstr>Driftkalkyl - Smågrisar</vt:lpstr>
      <vt:lpstr>Sammanställning Noter drift</vt:lpstr>
      <vt:lpstr>Offerter</vt:lpstr>
      <vt:lpstr>El</vt:lpstr>
      <vt:lpstr>Referenser</vt:lpstr>
      <vt:lpstr>Vet Medicin</vt:lpstr>
      <vt:lpstr>Gödsel &amp; Halm</vt:lpstr>
      <vt:lpstr>Foder</vt:lpstr>
      <vt:lpstr>PigWin</vt:lpstr>
      <vt:lpstr>Arbetstid</vt:lpstr>
      <vt:lpstr>SJVrullista</vt:lpstr>
      <vt:lpstr>Djurslag</vt:lpstr>
      <vt:lpstr>'Driftkalkyl - Smågrisar'!Utskriftsområde</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2017-10-01T07:46:00Z</cp:lastPrinted>
  <dcterms:created xsi:type="dcterms:W3CDTF">2016-06-01T07:08:09Z</dcterms:created>
  <dcterms:modified xsi:type="dcterms:W3CDTF">2018-03-06T13:45:58Z</dcterms:modified>
</cp:coreProperties>
</file>