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G:\Avdelning\Landsbygdsavdelningen\6.Landsbygdsutvecklingsenheten\Konkurrenskraft\Kompetensutveckling\Upphandlingar\Stalltävling 2016\Leverans o bedömning\Leveranser\Slaktgrisar - Espert\Slutleverans\"/>
    </mc:Choice>
  </mc:AlternateContent>
  <bookViews>
    <workbookView xWindow="0" yWindow="240" windowWidth="19200" windowHeight="6912" tabRatio="800" activeTab="2"/>
  </bookViews>
  <sheets>
    <sheet name="Intro" sheetId="9" r:id="rId1"/>
    <sheet name="Investeringskalkyl" sheetId="1" r:id="rId2"/>
    <sheet name="Driftkalkyl - Slaktgrisar" sheetId="3" r:id="rId3"/>
    <sheet name="Blad1" sheetId="12" r:id="rId4"/>
  </sheets>
  <definedNames>
    <definedName name="blue_a2">#REF!</definedName>
    <definedName name="Djurslag">#REF!</definedName>
    <definedName name="pristyp">#REF!</definedName>
    <definedName name="prodstorlek">#REF!</definedName>
    <definedName name="stodomrade">#REF!</definedName>
    <definedName name="Välj_djurslag">#REF!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12" l="1"/>
  <c r="K20" i="12"/>
  <c r="K21" i="12"/>
  <c r="H21" i="12"/>
  <c r="I21" i="12"/>
  <c r="I20" i="12"/>
  <c r="I17" i="12"/>
  <c r="F2" i="12"/>
  <c r="F57" i="1" l="1"/>
  <c r="E25" i="3" l="1"/>
  <c r="N19" i="12"/>
  <c r="H20" i="12"/>
  <c r="J20" i="12"/>
  <c r="E77" i="1"/>
  <c r="F63" i="1"/>
  <c r="F77" i="1"/>
  <c r="F45" i="1" l="1"/>
  <c r="C56" i="3"/>
  <c r="C57" i="3" s="1"/>
  <c r="D23" i="12"/>
  <c r="G17" i="12" l="1"/>
  <c r="H17" i="12" s="1"/>
  <c r="E7" i="12"/>
  <c r="E8" i="12" s="1"/>
  <c r="C40" i="3" l="1"/>
  <c r="F40" i="3" s="1"/>
  <c r="G40" i="3" s="1"/>
  <c r="K17" i="12"/>
  <c r="E30" i="3"/>
  <c r="E11" i="12"/>
  <c r="E10" i="12"/>
  <c r="C30" i="3" s="1"/>
  <c r="F30" i="3" s="1"/>
  <c r="C27" i="3"/>
  <c r="C48" i="3"/>
  <c r="F38" i="1"/>
  <c r="F42" i="1" s="1"/>
  <c r="C66" i="1"/>
  <c r="C44" i="3"/>
  <c r="B4" i="3"/>
  <c r="E6" i="3" s="1"/>
  <c r="F36" i="3"/>
  <c r="G36" i="3"/>
  <c r="F21" i="3"/>
  <c r="G21" i="3"/>
  <c r="F18" i="3"/>
  <c r="G18" i="3" s="1"/>
  <c r="F48" i="3"/>
  <c r="F47" i="3"/>
  <c r="G47" i="3" s="1"/>
  <c r="F46" i="3"/>
  <c r="G46" i="3" s="1"/>
  <c r="F45" i="3"/>
  <c r="G45" i="3"/>
  <c r="F33" i="3"/>
  <c r="G33" i="3" s="1"/>
  <c r="F34" i="3"/>
  <c r="G34" i="3"/>
  <c r="F35" i="3"/>
  <c r="G35" i="3" s="1"/>
  <c r="F32" i="3"/>
  <c r="G32" i="3"/>
  <c r="F31" i="3"/>
  <c r="G31" i="3" s="1"/>
  <c r="F29" i="3"/>
  <c r="G29" i="3"/>
  <c r="F27" i="3"/>
  <c r="G27" i="3" s="1"/>
  <c r="F26" i="3"/>
  <c r="G26" i="3"/>
  <c r="F25" i="3"/>
  <c r="F20" i="3"/>
  <c r="F19" i="3"/>
  <c r="G19" i="3"/>
  <c r="F34" i="1"/>
  <c r="B25" i="1"/>
  <c r="G25" i="3"/>
  <c r="F67" i="1"/>
  <c r="F50" i="1"/>
  <c r="F56" i="1"/>
  <c r="F36" i="1"/>
  <c r="B18" i="1"/>
  <c r="G48" i="3" l="1"/>
  <c r="B10" i="3" s="1"/>
  <c r="F68" i="1"/>
  <c r="F71" i="1" s="1"/>
  <c r="G20" i="3"/>
  <c r="G22" i="3" s="1"/>
  <c r="F22" i="3"/>
  <c r="G30" i="3"/>
  <c r="F38" i="3"/>
  <c r="F74" i="1" l="1"/>
  <c r="F69" i="1"/>
  <c r="F70" i="1" s="1"/>
  <c r="B20" i="1" s="1"/>
  <c r="E39" i="3"/>
  <c r="F39" i="3" s="1"/>
  <c r="G39" i="3" s="1"/>
  <c r="B12" i="3"/>
  <c r="G38" i="3"/>
  <c r="C41" i="3"/>
  <c r="F41" i="3" s="1"/>
  <c r="F72" i="1" l="1"/>
  <c r="G41" i="3"/>
  <c r="F43" i="3"/>
  <c r="E44" i="3" l="1"/>
  <c r="F44" i="3" s="1"/>
  <c r="G43" i="3"/>
  <c r="B13" i="3"/>
  <c r="F50" i="3" l="1"/>
  <c r="G44" i="3"/>
  <c r="G50" i="3" l="1"/>
  <c r="F51" i="3"/>
  <c r="F53" i="3" s="1"/>
  <c r="B14" i="3"/>
  <c r="B8" i="3" s="1"/>
  <c r="G51" i="3" l="1"/>
  <c r="B9" i="3"/>
  <c r="E8" i="3"/>
  <c r="B21" i="1"/>
  <c r="B22" i="1" s="1"/>
  <c r="B27" i="1" l="1"/>
  <c r="B28" i="1"/>
</calcChain>
</file>

<file path=xl/comments1.xml><?xml version="1.0" encoding="utf-8"?>
<comments xmlns="http://schemas.openxmlformats.org/spreadsheetml/2006/main">
  <authors>
    <author>Jonas Fjertorp</author>
  </authors>
  <commentList>
    <comment ref="E47" authorId="0" shapeId="0">
      <text>
        <r>
          <rPr>
            <sz val="9"/>
            <color indexed="81"/>
            <rFont val="Tahoma"/>
            <family val="2"/>
          </rPr>
          <t>Minst 220 kr per timme (inkl. sociala avgifter)</t>
        </r>
      </text>
    </comment>
  </commentList>
</comments>
</file>

<file path=xl/sharedStrings.xml><?xml version="1.0" encoding="utf-8"?>
<sst xmlns="http://schemas.openxmlformats.org/spreadsheetml/2006/main" count="205" uniqueCount="158">
  <si>
    <t>Total yta</t>
  </si>
  <si>
    <t>m2</t>
  </si>
  <si>
    <t>Byggdelar</t>
  </si>
  <si>
    <t>Utgift</t>
  </si>
  <si>
    <t>Kr/enhet</t>
  </si>
  <si>
    <t>Antal/yta</t>
  </si>
  <si>
    <t>Not</t>
  </si>
  <si>
    <t>Markarbete</t>
  </si>
  <si>
    <t>Byggnad</t>
  </si>
  <si>
    <t>Stallbyggnad</t>
  </si>
  <si>
    <t>Personalutrymmen</t>
  </si>
  <si>
    <t>Foderutrymmen</t>
  </si>
  <si>
    <t>Övriga serviceutrymmen</t>
  </si>
  <si>
    <t>Installationer</t>
  </si>
  <si>
    <t>VA-installationer</t>
  </si>
  <si>
    <t>El framdragning/anslutning</t>
  </si>
  <si>
    <t>El-installationer</t>
  </si>
  <si>
    <t>Ventilation</t>
  </si>
  <si>
    <t>Övriga installationer</t>
  </si>
  <si>
    <t>Utgödsling</t>
  </si>
  <si>
    <t>Gödselpump</t>
  </si>
  <si>
    <t>Pumpbrunn</t>
  </si>
  <si>
    <t>Gödselbrunn</t>
  </si>
  <si>
    <t>Byggledning</t>
  </si>
  <si>
    <t>Markarbete för byggnader &amp; brunnar</t>
  </si>
  <si>
    <t>Vägar &amp; planer</t>
  </si>
  <si>
    <t>Inredning &amp; utrustning</t>
  </si>
  <si>
    <t>Delsumma markarbete</t>
  </si>
  <si>
    <t>Delsumma installationer</t>
  </si>
  <si>
    <t>Delsumma inredning &amp; utrustning</t>
  </si>
  <si>
    <t>Delsumma gödselvårdsanläggning</t>
  </si>
  <si>
    <t>Enhet</t>
  </si>
  <si>
    <t>Antal djurplatser</t>
  </si>
  <si>
    <t>Utrymmen för besök</t>
  </si>
  <si>
    <t>Utvecklingsgrupp</t>
  </si>
  <si>
    <t>Organisation</t>
  </si>
  <si>
    <t>Namn</t>
  </si>
  <si>
    <t>Kalkylmall</t>
  </si>
  <si>
    <t>slaktgrisar</t>
  </si>
  <si>
    <t/>
  </si>
  <si>
    <t>kr</t>
  </si>
  <si>
    <t>st</t>
  </si>
  <si>
    <t>Nationellt stöd</t>
  </si>
  <si>
    <t>kg</t>
  </si>
  <si>
    <t>Strömedel</t>
  </si>
  <si>
    <t>El</t>
  </si>
  <si>
    <t>kWh</t>
  </si>
  <si>
    <t>Produktionsrådgivning</t>
  </si>
  <si>
    <t>SUMMA SÄRKOSTNADER 1</t>
  </si>
  <si>
    <t>Ränta djurkapital</t>
  </si>
  <si>
    <t>SUMMA SÄRKOSTNADER 2</t>
  </si>
  <si>
    <t>Byggnader, avskr + ränta</t>
  </si>
  <si>
    <t>tim</t>
  </si>
  <si>
    <t>SUMMA SÄRKOSTNADER 3</t>
  </si>
  <si>
    <t>Grundförutsättningar</t>
  </si>
  <si>
    <t>Arbete (inkl. eget arbete)</t>
  </si>
  <si>
    <t>%</t>
  </si>
  <si>
    <t>Pris per enhet</t>
  </si>
  <si>
    <t>Övriga kostnader</t>
  </si>
  <si>
    <t>Nyckeltal</t>
  </si>
  <si>
    <t>Försäkringar för stallbyggnad</t>
  </si>
  <si>
    <t>Försäkringar för djur</t>
  </si>
  <si>
    <t>Investeringsstöd enligt schablon, totalt</t>
  </si>
  <si>
    <t>Investeringsutgift per djurplats utan stöd</t>
  </si>
  <si>
    <t>Flytgödsel, svin, 8% ts</t>
  </si>
  <si>
    <t>---</t>
  </si>
  <si>
    <t>Summa kostnader</t>
  </si>
  <si>
    <t>Ekonomisk livslängd</t>
  </si>
  <si>
    <t>år</t>
  </si>
  <si>
    <t>kr/år</t>
  </si>
  <si>
    <t>SUMMA med investeringsstöd (exkl. utrymme för visning)</t>
  </si>
  <si>
    <t>Investeringsutgift per djurplats med stöd</t>
  </si>
  <si>
    <t>Avkastningskrav på investering, nominell kalkylränta</t>
  </si>
  <si>
    <t>Inflation</t>
  </si>
  <si>
    <t>per år</t>
  </si>
  <si>
    <t>Real kalkylränta</t>
  </si>
  <si>
    <t>Byggledning &amp; ränta</t>
  </si>
  <si>
    <t>Delsumma byggledning &amp; ränta</t>
  </si>
  <si>
    <t>Ränta under byggtid</t>
  </si>
  <si>
    <t>Uppföljning av produktion, ekonomi &amp; drift</t>
  </si>
  <si>
    <t>Totalt för stallet</t>
  </si>
  <si>
    <t>Summa intäkter</t>
  </si>
  <si>
    <t>TB 1</t>
  </si>
  <si>
    <t>TB 2</t>
  </si>
  <si>
    <t>TB 3</t>
  </si>
  <si>
    <t>Investeringskalkyl</t>
  </si>
  <si>
    <t>Värde</t>
  </si>
  <si>
    <t>Yta stall</t>
  </si>
  <si>
    <t>Yta serviceutrymmen &amp; övriga utrymmen (exklusive utrymmen för visning)</t>
  </si>
  <si>
    <t>Yta utrymmen för visning</t>
  </si>
  <si>
    <t>INVESTERINGSUTGIFT</t>
  </si>
  <si>
    <t>GRUNDDATA</t>
  </si>
  <si>
    <t>SÄRINTÄKTER</t>
  </si>
  <si>
    <t>SÄRKOSTNADER</t>
  </si>
  <si>
    <t>Driftsledning</t>
  </si>
  <si>
    <t>Driftkalkyl - Slaktgrisar</t>
  </si>
  <si>
    <t>Kvant per slaktgris</t>
  </si>
  <si>
    <t>Kronor per slaktgris</t>
  </si>
  <si>
    <t>Antal omgångar per år</t>
  </si>
  <si>
    <t>Kött</t>
  </si>
  <si>
    <t>Totalt för stallet per år</t>
  </si>
  <si>
    <t>Förmedlingsavgift, frakt, tillägg</t>
  </si>
  <si>
    <t>Branschgemensamma kostnader</t>
  </si>
  <si>
    <t>Dödlighet och kassaktioner vid slakt</t>
  </si>
  <si>
    <t>Veterinär &amp; medicin</t>
  </si>
  <si>
    <t>Ränta rörelsekapital</t>
  </si>
  <si>
    <t>Nettonuvärde vid 5 % avkastning</t>
  </si>
  <si>
    <t>Täckningsbidrag per slaktgris</t>
  </si>
  <si>
    <t>Investeringsutgift (efter investeringsstöd enligt schablon)</t>
  </si>
  <si>
    <t>Driftnetto per år enligt driftkalkyl</t>
  </si>
  <si>
    <t>Driftnetto per år exklusive avskrivningar och ränta</t>
  </si>
  <si>
    <t>Resultat för stallet</t>
  </si>
  <si>
    <t>Vinstmarginal i stallkalkylen</t>
  </si>
  <si>
    <t>Byggnader, underhåll</t>
  </si>
  <si>
    <t>Löner</t>
  </si>
  <si>
    <t>Diverse</t>
  </si>
  <si>
    <t>&lt;- Välj djurslag i rullistan</t>
  </si>
  <si>
    <t>osv.</t>
  </si>
  <si>
    <t>Nuvärdet av driftsnetto (exklusive avskrivningar och ränta)</t>
  </si>
  <si>
    <t>SUMMA Investeringsutgift (exklusive utrymmen för visning)</t>
  </si>
  <si>
    <t>TOTAL INVESTERINGSUTGIFT (inklusive utrymmen för visning, utan stöd)</t>
  </si>
  <si>
    <t>Mattias Espert</t>
  </si>
  <si>
    <t>Christine Andersson</t>
  </si>
  <si>
    <t>LRF Konsult</t>
  </si>
  <si>
    <t>Smågris Syd AB</t>
  </si>
  <si>
    <t>Jonas Tuneståhl</t>
  </si>
  <si>
    <t>KLS Ugglarps</t>
  </si>
  <si>
    <t>Stall för smågrisproduktion</t>
  </si>
  <si>
    <t>Martin Rindom</t>
  </si>
  <si>
    <t>Gråkjaer</t>
  </si>
  <si>
    <t>Jörgen Lindadhl</t>
  </si>
  <si>
    <t>Distriktsveterinärerna, SJV</t>
  </si>
  <si>
    <t>Antal insatta grisar</t>
  </si>
  <si>
    <t>Dödlighet</t>
  </si>
  <si>
    <t>Genomsnittlig vikt</t>
  </si>
  <si>
    <t>Antal döda kg, per slaktsvin</t>
  </si>
  <si>
    <t>Smågris, 30 kg</t>
  </si>
  <si>
    <t>1  procent dödlighet</t>
  </si>
  <si>
    <t>Genomsnittlig uppfödningtid 13 v, rengöringstid 1 v</t>
  </si>
  <si>
    <t>combi 8600</t>
  </si>
  <si>
    <t>färdigfoder</t>
  </si>
  <si>
    <t>kr/kg</t>
  </si>
  <si>
    <t>Färdigfoder</t>
  </si>
  <si>
    <t>Egenproducerat foder</t>
  </si>
  <si>
    <t>insättning</t>
  </si>
  <si>
    <t>slaktad</t>
  </si>
  <si>
    <t>lev vikt</t>
  </si>
  <si>
    <t>tillväxt</t>
  </si>
  <si>
    <t>medelfoderdagar</t>
  </si>
  <si>
    <t>dagar</t>
  </si>
  <si>
    <t>Inventarier och foder</t>
  </si>
  <si>
    <t>tillväxt g/dag</t>
  </si>
  <si>
    <t>Reservkraftverk</t>
  </si>
  <si>
    <t>Gödselvårdsanläggning inkl reservkraftverk</t>
  </si>
  <si>
    <t>Uppfödningstid 86 dagar, daglig tillväxt 1100 g/dag</t>
  </si>
  <si>
    <t>Vattenförsörjning</t>
  </si>
  <si>
    <t>kbm</t>
  </si>
  <si>
    <t>Antal omgångar per år 3,47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</si>
</sst>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0\ &quot;kr&quot;;[Red]\-#,##0\ &quot;kr&quot;"/>
    <numFmt numFmtId="164" formatCode="#,##0\ &quot;kr&quot;"/>
    <numFmt numFmtId="165" formatCode="#,##0.0000"/>
    <numFmt numFmtId="166" formatCode="yy/mm/dd"/>
    <numFmt numFmtId="167" formatCode="#,##0.0"/>
    <numFmt numFmtId="168" formatCode="0.0%"/>
    <numFmt numFmtId="169" formatCode="#,##0\ _k_r"/>
    <numFmt numFmtId="170" formatCode="#,##0.00\ _k_r"/>
    <numFmt numFmtId="171" formatCode="#,##0_k_r"/>
    <numFmt numFmtId="172" formatCode="#,##0_ ;[Red]\-#,##0\ "/>
    <numFmt numFmtId="173" formatCode="0.000"/>
    <numFmt numFmtId="174" formatCode="0.0"/>
  </numFmts>
  <fonts count="26" x14ac:knownFonts="1">
    <font>
      <sz val="11"/>
      <color theme="1"/>
      <name val="Calibri"/>
      <family val="2"/>
      <scheme val="minor"/>
    </font>
    <font>
      <sz val="11"/>
      <color theme="1"/>
      <name val="Calibri"/>
      <family val="2"/>
      <scheme val="minor"/>
    </font>
    <font>
      <sz val="11"/>
      <color rgb="FFFF0000"/>
      <name val="Calibri"/>
      <family val="2"/>
      <scheme val="minor"/>
    </font>
    <font>
      <sz val="22"/>
      <color theme="1"/>
      <name val="Cambria"/>
      <family val="1"/>
    </font>
    <font>
      <sz val="11"/>
      <color theme="1"/>
      <name val="Cambria"/>
      <family val="1"/>
    </font>
    <font>
      <sz val="11"/>
      <name val="Cambria"/>
      <family val="1"/>
    </font>
    <font>
      <sz val="11"/>
      <color rgb="FFFF0000"/>
      <name val="Cambria"/>
      <family val="1"/>
    </font>
    <font>
      <b/>
      <i/>
      <sz val="11"/>
      <color theme="1"/>
      <name val="Cambria"/>
      <family val="1"/>
    </font>
    <font>
      <i/>
      <sz val="11"/>
      <color theme="1"/>
      <name val="Cambria"/>
      <family val="1"/>
    </font>
    <font>
      <b/>
      <sz val="12"/>
      <color theme="1"/>
      <name val="Cambria"/>
      <family val="1"/>
    </font>
    <font>
      <b/>
      <sz val="11"/>
      <color theme="1"/>
      <name val="Cambria"/>
      <family val="1"/>
    </font>
    <font>
      <b/>
      <sz val="11"/>
      <name val="Cambria"/>
      <family val="1"/>
    </font>
    <font>
      <sz val="9"/>
      <color indexed="81"/>
      <name val="Tahoma"/>
      <family val="2"/>
    </font>
    <font>
      <sz val="10"/>
      <name val="Verdana"/>
      <family val="2"/>
    </font>
    <font>
      <sz val="14"/>
      <name val="Cambria"/>
      <family val="1"/>
    </font>
    <font>
      <b/>
      <sz val="14"/>
      <color theme="1"/>
      <name val="Times New Roman"/>
      <family val="1"/>
    </font>
    <font>
      <sz val="14"/>
      <color theme="1"/>
      <name val="Times New Roman"/>
      <family val="1"/>
    </font>
    <font>
      <b/>
      <i/>
      <sz val="14"/>
      <color theme="1"/>
      <name val="Times New Roman"/>
      <family val="1"/>
    </font>
    <font>
      <i/>
      <sz val="14"/>
      <color theme="1"/>
      <name val="Times New Roman"/>
      <family val="1"/>
    </font>
    <font>
      <b/>
      <sz val="12"/>
      <name val="Times New Roman"/>
      <family val="1"/>
    </font>
    <font>
      <sz val="12"/>
      <name val="Times New Roman"/>
      <family val="1"/>
    </font>
    <font>
      <b/>
      <i/>
      <sz val="12"/>
      <name val="Times New Roman"/>
      <family val="1"/>
    </font>
    <font>
      <b/>
      <sz val="14"/>
      <name val="Times New Roman"/>
      <family val="1"/>
    </font>
    <font>
      <sz val="14"/>
      <name val="Times New Roman"/>
      <family val="1"/>
    </font>
    <font>
      <b/>
      <i/>
      <sz val="14"/>
      <name val="Times New Roman"/>
      <family val="1"/>
    </font>
    <font>
      <i/>
      <sz val="12"/>
      <name val="Times New Roman"/>
      <family val="1"/>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
      <patternFill patternType="solid">
        <fgColor theme="2"/>
        <bgColor indexed="64"/>
      </patternFill>
    </fill>
  </fills>
  <borders count="24">
    <border>
      <left/>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s>
  <cellStyleXfs count="3">
    <xf numFmtId="0" fontId="0" fillId="0" borderId="0"/>
    <xf numFmtId="9" fontId="1" fillId="0" borderId="0" applyFont="0" applyFill="0" applyBorder="0" applyAlignment="0" applyProtection="0"/>
    <xf numFmtId="0" fontId="13" fillId="0" borderId="0"/>
  </cellStyleXfs>
  <cellXfs count="217">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0" fontId="7" fillId="4" borderId="2" xfId="0" applyFont="1" applyFill="1" applyBorder="1"/>
    <xf numFmtId="0" fontId="7" fillId="4" borderId="3" xfId="0" applyFont="1" applyFill="1" applyBorder="1"/>
    <xf numFmtId="0" fontId="4" fillId="4" borderId="3" xfId="0" applyFont="1" applyFill="1" applyBorder="1"/>
    <xf numFmtId="0" fontId="4" fillId="4" borderId="4" xfId="0" applyFont="1" applyFill="1" applyBorder="1"/>
    <xf numFmtId="0" fontId="4" fillId="0" borderId="0" xfId="0" applyFont="1" applyBorder="1"/>
    <xf numFmtId="0" fontId="4" fillId="0" borderId="0" xfId="0" applyFont="1" applyBorder="1" applyAlignment="1">
      <alignment wrapText="1"/>
    </xf>
    <xf numFmtId="0" fontId="8" fillId="0" borderId="0" xfId="0" applyFont="1" applyBorder="1"/>
    <xf numFmtId="0" fontId="9" fillId="0" borderId="0" xfId="0" applyFont="1"/>
    <xf numFmtId="0" fontId="4" fillId="0" borderId="1" xfId="0" applyFont="1" applyBorder="1"/>
    <xf numFmtId="0" fontId="13" fillId="0" borderId="0" xfId="2" applyAlignment="1">
      <alignment wrapText="1"/>
    </xf>
    <xf numFmtId="0" fontId="13" fillId="0" borderId="0" xfId="2"/>
    <xf numFmtId="0" fontId="13" fillId="0" borderId="0" xfId="2" applyFont="1" applyFill="1" applyBorder="1"/>
    <xf numFmtId="0" fontId="5" fillId="0" borderId="5" xfId="2" applyFont="1" applyFill="1" applyBorder="1" applyAlignment="1">
      <alignment wrapText="1"/>
    </xf>
    <xf numFmtId="171" fontId="5" fillId="0" borderId="0" xfId="2" applyNumberFormat="1" applyFont="1" applyFill="1" applyBorder="1" applyProtection="1">
      <protection locked="0"/>
    </xf>
    <xf numFmtId="0" fontId="5" fillId="0" borderId="0" xfId="2" applyFont="1" applyFill="1" applyBorder="1"/>
    <xf numFmtId="0" fontId="5" fillId="0" borderId="0" xfId="2" applyFont="1" applyFill="1" applyBorder="1" applyAlignment="1">
      <alignment wrapText="1"/>
    </xf>
    <xf numFmtId="0" fontId="7" fillId="4" borderId="7" xfId="0" applyFont="1" applyFill="1" applyBorder="1"/>
    <xf numFmtId="0" fontId="7" fillId="4" borderId="1" xfId="0" applyFont="1" applyFill="1" applyBorder="1"/>
    <xf numFmtId="0" fontId="4" fillId="4" borderId="8" xfId="0" applyFont="1" applyFill="1" applyBorder="1"/>
    <xf numFmtId="6" fontId="5" fillId="3" borderId="6" xfId="0" applyNumberFormat="1" applyFont="1" applyFill="1" applyBorder="1" applyProtection="1"/>
    <xf numFmtId="6" fontId="5" fillId="3" borderId="11" xfId="0" applyNumberFormat="1" applyFont="1" applyFill="1" applyBorder="1" applyProtection="1"/>
    <xf numFmtId="171" fontId="5" fillId="0" borderId="0" xfId="2" applyNumberFormat="1" applyFont="1" applyFill="1" applyBorder="1" applyAlignment="1">
      <alignment wrapText="1"/>
    </xf>
    <xf numFmtId="38" fontId="4" fillId="0" borderId="0" xfId="0" applyNumberFormat="1" applyFont="1"/>
    <xf numFmtId="6" fontId="4" fillId="0" borderId="0" xfId="0" applyNumberFormat="1" applyFont="1"/>
    <xf numFmtId="0" fontId="14" fillId="0" borderId="0" xfId="0" applyFont="1"/>
    <xf numFmtId="0" fontId="4" fillId="0" borderId="5" xfId="0" applyFont="1" applyBorder="1" applyAlignment="1" applyProtection="1">
      <alignment wrapText="1"/>
      <protection locked="0"/>
    </xf>
    <xf numFmtId="0" fontId="4" fillId="0" borderId="0" xfId="0" applyFont="1" applyBorder="1" applyAlignment="1" applyProtection="1">
      <alignment wrapText="1"/>
      <protection locked="0"/>
    </xf>
    <xf numFmtId="0" fontId="4" fillId="0" borderId="0" xfId="0" applyFont="1" applyFill="1" applyBorder="1" applyProtection="1">
      <protection locked="0"/>
    </xf>
    <xf numFmtId="0" fontId="4" fillId="0" borderId="6" xfId="0" applyFont="1" applyBorder="1" applyProtection="1">
      <protection locked="0"/>
    </xf>
    <xf numFmtId="0" fontId="4" fillId="0" borderId="9" xfId="0" applyFont="1" applyBorder="1" applyProtection="1">
      <protection locked="0"/>
    </xf>
    <xf numFmtId="0" fontId="4" fillId="0" borderId="10" xfId="0" applyFont="1" applyBorder="1" applyProtection="1">
      <protection locked="0"/>
    </xf>
    <xf numFmtId="0" fontId="4" fillId="0" borderId="11" xfId="0" applyFont="1" applyBorder="1" applyProtection="1">
      <protection locked="0"/>
    </xf>
    <xf numFmtId="0" fontId="5" fillId="0" borderId="0" xfId="0" applyFont="1" applyBorder="1" applyAlignment="1" applyProtection="1">
      <alignment horizontal="right"/>
    </xf>
    <xf numFmtId="0" fontId="5" fillId="0" borderId="0" xfId="0" applyFont="1" applyBorder="1" applyAlignment="1" applyProtection="1">
      <alignment wrapText="1"/>
    </xf>
    <xf numFmtId="3" fontId="5" fillId="0" borderId="0" xfId="0" applyNumberFormat="1" applyFont="1" applyFill="1" applyBorder="1" applyProtection="1"/>
    <xf numFmtId="0" fontId="5" fillId="0" borderId="9" xfId="0" applyFont="1" applyBorder="1" applyAlignment="1" applyProtection="1">
      <alignment horizontal="left" wrapText="1"/>
    </xf>
    <xf numFmtId="0" fontId="4" fillId="0" borderId="5" xfId="0" applyFont="1" applyBorder="1" applyAlignment="1" applyProtection="1">
      <alignment wrapText="1"/>
    </xf>
    <xf numFmtId="0" fontId="4" fillId="0" borderId="9" xfId="0" applyFont="1" applyBorder="1" applyAlignment="1" applyProtection="1">
      <alignment wrapText="1"/>
    </xf>
    <xf numFmtId="6" fontId="4" fillId="3" borderId="11" xfId="0" applyNumberFormat="1" applyFont="1" applyFill="1" applyBorder="1" applyProtection="1"/>
    <xf numFmtId="0" fontId="5" fillId="0" borderId="5" xfId="0" applyFont="1" applyBorder="1" applyAlignment="1" applyProtection="1">
      <alignment horizontal="left" wrapText="1"/>
    </xf>
    <xf numFmtId="38" fontId="5" fillId="0" borderId="0" xfId="0" applyNumberFormat="1" applyFont="1" applyFill="1" applyBorder="1" applyProtection="1"/>
    <xf numFmtId="2" fontId="4" fillId="0" borderId="0" xfId="0" applyNumberFormat="1" applyFont="1" applyFill="1" applyBorder="1" applyProtection="1">
      <protection locked="0"/>
    </xf>
    <xf numFmtId="0" fontId="11" fillId="4" borderId="2" xfId="0" applyFont="1" applyFill="1" applyBorder="1" applyAlignment="1" applyProtection="1">
      <alignment horizontal="left" wrapText="1"/>
    </xf>
    <xf numFmtId="164" fontId="11" fillId="4" borderId="4" xfId="0" applyNumberFormat="1" applyFont="1" applyFill="1" applyBorder="1" applyAlignment="1" applyProtection="1">
      <alignment horizontal="left"/>
    </xf>
    <xf numFmtId="3" fontId="4" fillId="0" borderId="0" xfId="0" applyNumberFormat="1" applyFont="1" applyBorder="1" applyProtection="1"/>
    <xf numFmtId="3" fontId="5" fillId="0" borderId="0" xfId="0" applyNumberFormat="1" applyFont="1" applyBorder="1" applyAlignment="1" applyProtection="1">
      <alignment horizontal="right"/>
    </xf>
    <xf numFmtId="0" fontId="5" fillId="0" borderId="0" xfId="0" applyFont="1" applyBorder="1" applyProtection="1"/>
    <xf numFmtId="0" fontId="4" fillId="0" borderId="0" xfId="0" applyFont="1" applyProtection="1"/>
    <xf numFmtId="3" fontId="5" fillId="0" borderId="0" xfId="0" applyNumberFormat="1" applyFont="1" applyBorder="1" applyProtection="1"/>
    <xf numFmtId="0" fontId="5" fillId="0" borderId="0" xfId="0" applyFont="1" applyProtection="1"/>
    <xf numFmtId="165" fontId="5" fillId="0" borderId="0" xfId="0" applyNumberFormat="1" applyFont="1" applyFill="1" applyBorder="1" applyProtection="1"/>
    <xf numFmtId="165" fontId="5" fillId="0" borderId="0" xfId="0" applyNumberFormat="1" applyFont="1" applyBorder="1" applyProtection="1"/>
    <xf numFmtId="0" fontId="5" fillId="0" borderId="1" xfId="0" applyFont="1" applyBorder="1" applyAlignment="1" applyProtection="1">
      <alignment wrapText="1"/>
    </xf>
    <xf numFmtId="0" fontId="5" fillId="0" borderId="1" xfId="0" applyFont="1" applyBorder="1" applyAlignment="1" applyProtection="1">
      <alignment horizontal="right"/>
    </xf>
    <xf numFmtId="3" fontId="5" fillId="0" borderId="1" xfId="0" applyNumberFormat="1" applyFont="1" applyBorder="1" applyAlignment="1" applyProtection="1">
      <alignment horizontal="center"/>
    </xf>
    <xf numFmtId="0" fontId="3" fillId="0" borderId="0" xfId="0" applyFont="1" applyProtection="1"/>
    <xf numFmtId="0" fontId="10" fillId="4" borderId="2" xfId="0" applyFont="1" applyFill="1" applyBorder="1" applyAlignment="1" applyProtection="1">
      <alignment wrapText="1"/>
    </xf>
    <xf numFmtId="0" fontId="4" fillId="4" borderId="3" xfId="0" applyFont="1" applyFill="1" applyBorder="1" applyProtection="1"/>
    <xf numFmtId="0" fontId="4" fillId="4" borderId="4" xfId="0" applyFont="1" applyFill="1" applyBorder="1" applyProtection="1"/>
    <xf numFmtId="0" fontId="4" fillId="3" borderId="0" xfId="0" applyFont="1" applyFill="1" applyBorder="1" applyProtection="1"/>
    <xf numFmtId="0" fontId="4" fillId="0" borderId="6" xfId="0" applyFont="1" applyBorder="1" applyProtection="1"/>
    <xf numFmtId="0" fontId="4" fillId="0" borderId="0" xfId="0" applyFont="1" applyBorder="1" applyProtection="1"/>
    <xf numFmtId="0" fontId="4" fillId="0" borderId="0" xfId="0" applyFont="1" applyBorder="1" applyAlignment="1" applyProtection="1">
      <alignment wrapText="1"/>
    </xf>
    <xf numFmtId="0" fontId="4" fillId="0" borderId="11" xfId="0" applyFont="1" applyBorder="1" applyProtection="1"/>
    <xf numFmtId="0" fontId="4" fillId="0" borderId="3" xfId="0" applyFont="1" applyBorder="1" applyAlignment="1" applyProtection="1">
      <alignment wrapText="1"/>
    </xf>
    <xf numFmtId="0" fontId="4" fillId="0" borderId="3" xfId="0" applyFont="1" applyFill="1" applyBorder="1" applyProtection="1"/>
    <xf numFmtId="0" fontId="4" fillId="0" borderId="3" xfId="0" applyFont="1" applyBorder="1" applyProtection="1"/>
    <xf numFmtId="166" fontId="5" fillId="0" borderId="0" xfId="0" applyNumberFormat="1" applyFont="1" applyFill="1" applyBorder="1" applyProtection="1"/>
    <xf numFmtId="0" fontId="5" fillId="0" borderId="0" xfId="0" applyFont="1" applyAlignment="1" applyProtection="1">
      <alignment wrapText="1"/>
    </xf>
    <xf numFmtId="2" fontId="5" fillId="0" borderId="0" xfId="0" applyNumberFormat="1" applyFont="1" applyBorder="1" applyProtection="1"/>
    <xf numFmtId="169" fontId="5" fillId="0" borderId="0" xfId="0" applyNumberFormat="1" applyFont="1" applyBorder="1" applyProtection="1"/>
    <xf numFmtId="2" fontId="5" fillId="0" borderId="0" xfId="0" applyNumberFormat="1" applyFont="1" applyFill="1" applyBorder="1" applyProtection="1"/>
    <xf numFmtId="2" fontId="5" fillId="0" borderId="0" xfId="0" applyNumberFormat="1" applyFont="1" applyFill="1" applyBorder="1" applyAlignment="1" applyProtection="1">
      <alignment horizontal="right"/>
    </xf>
    <xf numFmtId="164" fontId="4" fillId="0" borderId="0" xfId="0" applyNumberFormat="1" applyFont="1" applyProtection="1"/>
    <xf numFmtId="168" fontId="4" fillId="3" borderId="6" xfId="0" applyNumberFormat="1" applyFont="1" applyFill="1" applyBorder="1" applyProtection="1"/>
    <xf numFmtId="168" fontId="0" fillId="0" borderId="0" xfId="0" applyNumberFormat="1"/>
    <xf numFmtId="173" fontId="0" fillId="0" borderId="0" xfId="0" applyNumberFormat="1"/>
    <xf numFmtId="2" fontId="0" fillId="0" borderId="0" xfId="0" applyNumberFormat="1"/>
    <xf numFmtId="174" fontId="0" fillId="0" borderId="0" xfId="0" applyNumberFormat="1"/>
    <xf numFmtId="2" fontId="4" fillId="0" borderId="0" xfId="0" applyNumberFormat="1" applyFont="1" applyProtection="1"/>
    <xf numFmtId="1" fontId="4" fillId="0" borderId="0" xfId="0" applyNumberFormat="1" applyFont="1" applyProtection="1"/>
    <xf numFmtId="0" fontId="15" fillId="4" borderId="23" xfId="0" applyFont="1" applyFill="1" applyBorder="1"/>
    <xf numFmtId="0" fontId="16" fillId="4" borderId="21" xfId="0" applyFont="1" applyFill="1" applyBorder="1"/>
    <xf numFmtId="0" fontId="16" fillId="4" borderId="22" xfId="0" applyFont="1" applyFill="1" applyBorder="1"/>
    <xf numFmtId="0" fontId="15" fillId="4" borderId="5" xfId="0" applyFont="1" applyFill="1" applyBorder="1"/>
    <xf numFmtId="0" fontId="17" fillId="4" borderId="0" xfId="0" applyFont="1" applyFill="1" applyBorder="1" applyAlignment="1">
      <alignment horizontal="center"/>
    </xf>
    <xf numFmtId="0" fontId="15" fillId="4" borderId="0" xfId="0" applyFont="1" applyFill="1" applyBorder="1"/>
    <xf numFmtId="0" fontId="15" fillId="4" borderId="6" xfId="0" applyFont="1" applyFill="1" applyBorder="1"/>
    <xf numFmtId="0" fontId="17" fillId="0" borderId="5" xfId="0" applyFont="1" applyBorder="1"/>
    <xf numFmtId="0" fontId="18" fillId="0" borderId="0" xfId="0" applyFont="1" applyBorder="1" applyAlignment="1" applyProtection="1">
      <alignment horizontal="center"/>
      <protection locked="0"/>
    </xf>
    <xf numFmtId="0" fontId="16" fillId="0" borderId="0" xfId="0" applyFont="1" applyBorder="1" applyProtection="1">
      <protection locked="0"/>
    </xf>
    <xf numFmtId="164" fontId="16" fillId="0" borderId="0" xfId="0" applyNumberFormat="1" applyFont="1" applyBorder="1" applyProtection="1">
      <protection locked="0"/>
    </xf>
    <xf numFmtId="164" fontId="16" fillId="0" borderId="6" xfId="0" applyNumberFormat="1" applyFont="1" applyFill="1" applyBorder="1"/>
    <xf numFmtId="0" fontId="16" fillId="0" borderId="5" xfId="0" applyFont="1" applyBorder="1"/>
    <xf numFmtId="164" fontId="16" fillId="3" borderId="6" xfId="0" applyNumberFormat="1" applyFont="1" applyFill="1" applyBorder="1" applyProtection="1"/>
    <xf numFmtId="0" fontId="18" fillId="0" borderId="18" xfId="0" applyFont="1" applyBorder="1"/>
    <xf numFmtId="0" fontId="18" fillId="0" borderId="19" xfId="0" applyFont="1" applyBorder="1" applyAlignment="1" applyProtection="1">
      <alignment horizontal="center"/>
      <protection locked="0"/>
    </xf>
    <xf numFmtId="0" fontId="18" fillId="0" borderId="19" xfId="0" applyFont="1" applyBorder="1" applyProtection="1">
      <protection locked="0"/>
    </xf>
    <xf numFmtId="164" fontId="18" fillId="0" borderId="19" xfId="0" applyNumberFormat="1" applyFont="1" applyBorder="1" applyProtection="1">
      <protection locked="0"/>
    </xf>
    <xf numFmtId="164" fontId="18" fillId="3" borderId="20" xfId="0" applyNumberFormat="1" applyFont="1" applyFill="1" applyBorder="1" applyProtection="1"/>
    <xf numFmtId="0" fontId="17" fillId="0" borderId="12" xfId="0" applyFont="1" applyBorder="1"/>
    <xf numFmtId="0" fontId="18" fillId="0" borderId="13" xfId="0" applyFont="1" applyBorder="1" applyAlignment="1" applyProtection="1">
      <alignment horizontal="center"/>
      <protection locked="0"/>
    </xf>
    <xf numFmtId="0" fontId="16" fillId="0" borderId="13" xfId="0" applyFont="1" applyBorder="1" applyProtection="1">
      <protection locked="0"/>
    </xf>
    <xf numFmtId="164" fontId="16" fillId="0" borderId="13" xfId="0" applyNumberFormat="1" applyFont="1" applyBorder="1" applyProtection="1">
      <protection locked="0"/>
    </xf>
    <xf numFmtId="164" fontId="16" fillId="0" borderId="14" xfId="0" applyNumberFormat="1" applyFont="1" applyFill="1" applyBorder="1"/>
    <xf numFmtId="9" fontId="16" fillId="2" borderId="0" xfId="0" applyNumberFormat="1" applyFont="1" applyFill="1" applyBorder="1" applyProtection="1"/>
    <xf numFmtId="0" fontId="18" fillId="0" borderId="19" xfId="0" applyFont="1" applyBorder="1" applyAlignment="1">
      <alignment horizontal="center"/>
    </xf>
    <xf numFmtId="0" fontId="18" fillId="0" borderId="19" xfId="0" applyFont="1" applyBorder="1"/>
    <xf numFmtId="164" fontId="18" fillId="0" borderId="19" xfId="0" applyNumberFormat="1" applyFont="1" applyBorder="1"/>
    <xf numFmtId="0" fontId="15" fillId="0" borderId="12" xfId="0" applyFont="1" applyBorder="1"/>
    <xf numFmtId="0" fontId="18" fillId="0" borderId="13" xfId="0" applyFont="1" applyBorder="1" applyAlignment="1">
      <alignment horizontal="center"/>
    </xf>
    <xf numFmtId="0" fontId="15" fillId="0" borderId="13" xfId="0" applyFont="1" applyBorder="1"/>
    <xf numFmtId="164" fontId="15" fillId="0" borderId="13" xfId="0" applyNumberFormat="1" applyFont="1" applyBorder="1"/>
    <xf numFmtId="164" fontId="15" fillId="3" borderId="14" xfId="0" applyNumberFormat="1" applyFont="1" applyFill="1" applyBorder="1" applyProtection="1"/>
    <xf numFmtId="0" fontId="15" fillId="0" borderId="7" xfId="0" applyFont="1" applyBorder="1"/>
    <xf numFmtId="0" fontId="18" fillId="0" borderId="1" xfId="0" applyFont="1" applyBorder="1" applyAlignment="1">
      <alignment horizontal="center"/>
    </xf>
    <xf numFmtId="0" fontId="15" fillId="0" borderId="1" xfId="0" applyFont="1" applyBorder="1"/>
    <xf numFmtId="164" fontId="15" fillId="0" borderId="1" xfId="0" applyNumberFormat="1" applyFont="1" applyBorder="1"/>
    <xf numFmtId="164" fontId="15" fillId="3" borderId="8" xfId="0" applyNumberFormat="1" applyFont="1" applyFill="1" applyBorder="1" applyProtection="1"/>
    <xf numFmtId="0" fontId="15" fillId="0" borderId="18" xfId="0" applyFont="1" applyBorder="1"/>
    <xf numFmtId="0" fontId="15" fillId="0" borderId="19" xfId="0" applyFont="1" applyBorder="1"/>
    <xf numFmtId="164" fontId="15" fillId="0" borderId="19" xfId="0" applyNumberFormat="1" applyFont="1" applyBorder="1"/>
    <xf numFmtId="164" fontId="15" fillId="3" borderId="20" xfId="0" applyNumberFormat="1" applyFont="1" applyFill="1" applyBorder="1" applyProtection="1"/>
    <xf numFmtId="0" fontId="15" fillId="0" borderId="5" xfId="0" applyFont="1" applyBorder="1"/>
    <xf numFmtId="0" fontId="18" fillId="0" borderId="0" xfId="0" applyFont="1" applyBorder="1" applyAlignment="1">
      <alignment horizontal="center"/>
    </xf>
    <xf numFmtId="0" fontId="15" fillId="0" borderId="0" xfId="0" applyFont="1" applyBorder="1"/>
    <xf numFmtId="164" fontId="15" fillId="0" borderId="0" xfId="0" applyNumberFormat="1" applyFont="1" applyBorder="1"/>
    <xf numFmtId="164" fontId="15" fillId="3" borderId="6" xfId="0" applyNumberFormat="1" applyFont="1" applyFill="1" applyBorder="1" applyProtection="1"/>
    <xf numFmtId="0" fontId="16" fillId="5" borderId="12" xfId="0" applyFont="1" applyFill="1" applyBorder="1"/>
    <xf numFmtId="0" fontId="18" fillId="5" borderId="13" xfId="0" applyFont="1" applyFill="1" applyBorder="1" applyAlignment="1" applyProtection="1">
      <alignment horizontal="center"/>
      <protection locked="0"/>
    </xf>
    <xf numFmtId="0" fontId="16" fillId="5" borderId="13" xfId="0" applyFont="1" applyFill="1" applyBorder="1" applyProtection="1">
      <protection locked="0"/>
    </xf>
    <xf numFmtId="164" fontId="16" fillId="5" borderId="13" xfId="0" applyNumberFormat="1" applyFont="1" applyFill="1" applyBorder="1" applyProtection="1">
      <protection locked="0"/>
    </xf>
    <xf numFmtId="164" fontId="16" fillId="5" borderId="20" xfId="0" applyNumberFormat="1" applyFont="1" applyFill="1" applyBorder="1" applyProtection="1">
      <protection locked="0"/>
    </xf>
    <xf numFmtId="0" fontId="16" fillId="0" borderId="15" xfId="0" applyFont="1" applyBorder="1"/>
    <xf numFmtId="0" fontId="18" fillId="0" borderId="16" xfId="0" applyFont="1" applyBorder="1" applyAlignment="1">
      <alignment horizontal="center"/>
    </xf>
    <xf numFmtId="0" fontId="16" fillId="0" borderId="16" xfId="0" applyFont="1" applyBorder="1"/>
    <xf numFmtId="164" fontId="16" fillId="3" borderId="17" xfId="0" applyNumberFormat="1" applyFont="1" applyFill="1" applyBorder="1" applyProtection="1"/>
    <xf numFmtId="0" fontId="22" fillId="4" borderId="23" xfId="2" applyFont="1" applyFill="1" applyBorder="1" applyAlignment="1">
      <alignment wrapText="1"/>
    </xf>
    <xf numFmtId="0" fontId="22" fillId="4" borderId="21" xfId="2" applyFont="1" applyFill="1" applyBorder="1" applyAlignment="1">
      <alignment horizontal="left" wrapText="1"/>
    </xf>
    <xf numFmtId="0" fontId="22" fillId="4" borderId="22" xfId="2" applyFont="1" applyFill="1" applyBorder="1" applyAlignment="1">
      <alignment wrapText="1"/>
    </xf>
    <xf numFmtId="0" fontId="23" fillId="0" borderId="5" xfId="2" applyFont="1" applyFill="1" applyBorder="1" applyAlignment="1">
      <alignment wrapText="1"/>
    </xf>
    <xf numFmtId="0" fontId="16" fillId="0" borderId="0" xfId="0" applyFont="1" applyBorder="1" applyAlignment="1" applyProtection="1">
      <alignment horizontal="right" wrapText="1"/>
      <protection locked="0"/>
    </xf>
    <xf numFmtId="0" fontId="23" fillId="0" borderId="6" xfId="0" applyFont="1" applyBorder="1" applyAlignment="1" applyProtection="1">
      <alignment horizontal="left"/>
      <protection locked="0"/>
    </xf>
    <xf numFmtId="0" fontId="16" fillId="0" borderId="0" xfId="0" applyFont="1" applyFill="1" applyBorder="1" applyAlignment="1" applyProtection="1">
      <alignment horizontal="right"/>
      <protection locked="0"/>
    </xf>
    <xf numFmtId="0" fontId="16" fillId="0" borderId="6" xfId="0" applyFont="1" applyBorder="1"/>
    <xf numFmtId="0" fontId="16" fillId="0" borderId="5" xfId="0" applyFont="1" applyBorder="1" applyAlignment="1">
      <alignment wrapText="1"/>
    </xf>
    <xf numFmtId="0" fontId="16" fillId="0" borderId="7" xfId="0" applyFont="1" applyBorder="1" applyAlignment="1">
      <alignment wrapText="1"/>
    </xf>
    <xf numFmtId="0" fontId="16" fillId="0" borderId="1" xfId="0" applyFont="1" applyFill="1" applyBorder="1" applyAlignment="1" applyProtection="1">
      <alignment horizontal="right"/>
      <protection locked="0"/>
    </xf>
    <xf numFmtId="0" fontId="16" fillId="0" borderId="8" xfId="0" applyFont="1" applyBorder="1"/>
    <xf numFmtId="3" fontId="18" fillId="3" borderId="16" xfId="0" applyNumberFormat="1" applyFont="1" applyFill="1" applyBorder="1" applyProtection="1"/>
    <xf numFmtId="0" fontId="18" fillId="0" borderId="20" xfId="0" applyFont="1" applyBorder="1"/>
    <xf numFmtId="172" fontId="24" fillId="3" borderId="13" xfId="2" applyNumberFormat="1" applyFont="1" applyFill="1" applyBorder="1" applyAlignment="1" applyProtection="1">
      <alignment horizontal="right"/>
    </xf>
    <xf numFmtId="0" fontId="23" fillId="0" borderId="6" xfId="2" applyFont="1" applyFill="1" applyBorder="1"/>
    <xf numFmtId="172" fontId="24" fillId="3" borderId="0" xfId="2" applyNumberFormat="1" applyFont="1" applyFill="1" applyBorder="1" applyAlignment="1" applyProtection="1">
      <alignment horizontal="right"/>
    </xf>
    <xf numFmtId="10" fontId="23" fillId="2" borderId="0" xfId="2" applyNumberFormat="1" applyFont="1" applyFill="1" applyBorder="1" applyAlignment="1" applyProtection="1">
      <alignment horizontal="right"/>
    </xf>
    <xf numFmtId="168" fontId="23" fillId="3" borderId="0" xfId="2" applyNumberFormat="1" applyFont="1" applyFill="1" applyBorder="1" applyAlignment="1" applyProtection="1">
      <alignment horizontal="right"/>
    </xf>
    <xf numFmtId="0" fontId="23" fillId="0" borderId="0" xfId="2" applyFont="1" applyFill="1" applyBorder="1" applyAlignment="1" applyProtection="1">
      <alignment horizontal="right"/>
      <protection locked="0"/>
    </xf>
    <xf numFmtId="172" fontId="24" fillId="3" borderId="1" xfId="2" applyNumberFormat="1" applyFont="1" applyFill="1" applyBorder="1" applyAlignment="1" applyProtection="1">
      <alignment horizontal="right"/>
    </xf>
    <xf numFmtId="0" fontId="24" fillId="0" borderId="15" xfId="2" applyFont="1" applyFill="1" applyBorder="1" applyAlignment="1">
      <alignment wrapText="1"/>
    </xf>
    <xf numFmtId="172" fontId="24" fillId="3" borderId="10" xfId="2" applyNumberFormat="1" applyFont="1" applyFill="1" applyBorder="1" applyAlignment="1" applyProtection="1">
      <alignment horizontal="right"/>
    </xf>
    <xf numFmtId="0" fontId="24" fillId="0" borderId="17" xfId="2" applyFont="1" applyFill="1" applyBorder="1"/>
    <xf numFmtId="0" fontId="19" fillId="4" borderId="19" xfId="0" applyFont="1" applyFill="1" applyBorder="1" applyAlignment="1" applyProtection="1">
      <alignment horizontal="left" wrapText="1"/>
    </xf>
    <xf numFmtId="0" fontId="21" fillId="4" borderId="19" xfId="0" applyFont="1" applyFill="1" applyBorder="1" applyAlignment="1" applyProtection="1">
      <alignment horizontal="center" wrapText="1"/>
    </xf>
    <xf numFmtId="3" fontId="19" fillId="4" borderId="1" xfId="0" applyNumberFormat="1" applyFont="1" applyFill="1" applyBorder="1" applyAlignment="1" applyProtection="1">
      <alignment horizontal="center" wrapText="1"/>
    </xf>
    <xf numFmtId="0" fontId="19" fillId="4" borderId="19" xfId="0" applyFont="1" applyFill="1" applyBorder="1" applyAlignment="1" applyProtection="1">
      <alignment horizontal="center" wrapText="1"/>
    </xf>
    <xf numFmtId="0" fontId="20" fillId="0" borderId="0" xfId="0" applyFont="1" applyBorder="1" applyAlignment="1" applyProtection="1">
      <alignment wrapText="1"/>
    </xf>
    <xf numFmtId="0" fontId="25" fillId="0" borderId="0" xfId="0" applyFont="1" applyBorder="1" applyAlignment="1" applyProtection="1">
      <alignment horizontal="center"/>
      <protection locked="0"/>
    </xf>
    <xf numFmtId="167" fontId="20" fillId="0" borderId="0" xfId="0" applyNumberFormat="1" applyFont="1" applyFill="1" applyBorder="1" applyProtection="1">
      <protection locked="0"/>
    </xf>
    <xf numFmtId="0" fontId="20" fillId="0" borderId="0" xfId="0" applyFont="1" applyBorder="1" applyAlignment="1" applyProtection="1">
      <alignment horizontal="right"/>
      <protection locked="0"/>
    </xf>
    <xf numFmtId="170" fontId="20" fillId="0" borderId="0" xfId="0" applyNumberFormat="1" applyFont="1" applyFill="1" applyBorder="1" applyProtection="1">
      <protection locked="0"/>
    </xf>
    <xf numFmtId="169" fontId="20" fillId="3" borderId="0" xfId="0" applyNumberFormat="1" applyFont="1" applyFill="1" applyBorder="1" applyProtection="1"/>
    <xf numFmtId="0" fontId="20" fillId="0" borderId="0" xfId="0" applyFont="1" applyFill="1" applyBorder="1" applyAlignment="1" applyProtection="1">
      <alignment horizontal="right"/>
      <protection locked="0"/>
    </xf>
    <xf numFmtId="0" fontId="20" fillId="0" borderId="0" xfId="0" applyFont="1" applyBorder="1" applyAlignment="1" applyProtection="1">
      <alignment wrapText="1"/>
      <protection locked="0"/>
    </xf>
    <xf numFmtId="0" fontId="21" fillId="0" borderId="19" xfId="0" applyFont="1" applyBorder="1" applyAlignment="1" applyProtection="1">
      <alignment horizontal="left" wrapText="1"/>
    </xf>
    <xf numFmtId="0" fontId="25" fillId="0" borderId="19" xfId="0" applyFont="1" applyBorder="1" applyAlignment="1" applyProtection="1">
      <alignment horizontal="center"/>
    </xf>
    <xf numFmtId="0" fontId="25" fillId="0" borderId="19" xfId="0" applyFont="1" applyBorder="1" applyProtection="1"/>
    <xf numFmtId="0" fontId="25" fillId="0" borderId="19" xfId="0" applyFont="1" applyBorder="1" applyAlignment="1" applyProtection="1">
      <alignment horizontal="right"/>
    </xf>
    <xf numFmtId="2" fontId="25" fillId="0" borderId="19" xfId="0" applyNumberFormat="1" applyFont="1" applyBorder="1" applyProtection="1"/>
    <xf numFmtId="6" fontId="21" fillId="3" borderId="19" xfId="0" applyNumberFormat="1" applyFont="1" applyFill="1" applyBorder="1" applyProtection="1"/>
    <xf numFmtId="0" fontId="21" fillId="0" borderId="0" xfId="0" applyFont="1" applyBorder="1" applyAlignment="1" applyProtection="1">
      <alignment horizontal="left" wrapText="1"/>
    </xf>
    <xf numFmtId="0" fontId="25" fillId="0" borderId="0" xfId="0" applyFont="1" applyBorder="1" applyAlignment="1" applyProtection="1">
      <alignment horizontal="center"/>
    </xf>
    <xf numFmtId="3" fontId="20" fillId="0" borderId="1" xfId="0" applyNumberFormat="1" applyFont="1" applyBorder="1" applyProtection="1"/>
    <xf numFmtId="0" fontId="20" fillId="0" borderId="1" xfId="0" applyFont="1" applyBorder="1" applyAlignment="1" applyProtection="1">
      <alignment horizontal="right"/>
    </xf>
    <xf numFmtId="2" fontId="20" fillId="0" borderId="1" xfId="0" applyNumberFormat="1" applyFont="1" applyBorder="1" applyProtection="1"/>
    <xf numFmtId="3" fontId="21" fillId="0" borderId="1" xfId="0" applyNumberFormat="1" applyFont="1" applyBorder="1" applyProtection="1"/>
    <xf numFmtId="0" fontId="20" fillId="0" borderId="0" xfId="0" applyFont="1" applyBorder="1" applyProtection="1"/>
    <xf numFmtId="3" fontId="20" fillId="0" borderId="0" xfId="0" applyNumberFormat="1" applyFont="1" applyFill="1" applyBorder="1" applyProtection="1">
      <protection locked="0"/>
    </xf>
    <xf numFmtId="0" fontId="21" fillId="0" borderId="19" xfId="0" applyFont="1" applyBorder="1" applyAlignment="1" applyProtection="1">
      <alignment wrapText="1"/>
    </xf>
    <xf numFmtId="0" fontId="21" fillId="0" borderId="19" xfId="0" applyFont="1" applyBorder="1" applyAlignment="1" applyProtection="1">
      <alignment horizontal="right"/>
    </xf>
    <xf numFmtId="0" fontId="21" fillId="0" borderId="19" xfId="0" applyFont="1" applyBorder="1" applyProtection="1"/>
    <xf numFmtId="4" fontId="21" fillId="0" borderId="19" xfId="0" applyNumberFormat="1" applyFont="1" applyFill="1" applyBorder="1" applyProtection="1"/>
    <xf numFmtId="164" fontId="21" fillId="3" borderId="19" xfId="0" applyNumberFormat="1" applyFont="1" applyFill="1" applyBorder="1" applyProtection="1"/>
    <xf numFmtId="4" fontId="20" fillId="0" borderId="0" xfId="0" applyNumberFormat="1" applyFont="1" applyFill="1" applyBorder="1" applyProtection="1">
      <protection locked="0"/>
    </xf>
    <xf numFmtId="0" fontId="20" fillId="0" borderId="0" xfId="0" applyFont="1" applyBorder="1" applyAlignment="1" applyProtection="1">
      <alignment horizontal="right"/>
    </xf>
    <xf numFmtId="170" fontId="20" fillId="3" borderId="0" xfId="1" applyNumberFormat="1" applyFont="1" applyFill="1" applyBorder="1" applyProtection="1"/>
    <xf numFmtId="0" fontId="25" fillId="0" borderId="0" xfId="0" quotePrefix="1" applyFont="1" applyBorder="1" applyAlignment="1" applyProtection="1">
      <alignment horizontal="center"/>
    </xf>
    <xf numFmtId="3" fontId="20" fillId="3" borderId="0" xfId="0" applyNumberFormat="1" applyFont="1" applyFill="1" applyBorder="1" applyProtection="1"/>
    <xf numFmtId="168" fontId="20" fillId="2" borderId="0" xfId="1" applyNumberFormat="1" applyFont="1" applyFill="1" applyBorder="1" applyProtection="1"/>
    <xf numFmtId="0" fontId="25" fillId="0" borderId="0" xfId="0" quotePrefix="1" applyFont="1" applyBorder="1" applyAlignment="1" applyProtection="1">
      <alignment horizontal="center"/>
      <protection locked="0"/>
    </xf>
    <xf numFmtId="168" fontId="20" fillId="0" borderId="0" xfId="1" applyNumberFormat="1" applyFont="1" applyFill="1" applyBorder="1" applyProtection="1">
      <protection locked="0"/>
    </xf>
    <xf numFmtId="0" fontId="19" fillId="0" borderId="19" xfId="0" applyFont="1" applyBorder="1" applyAlignment="1" applyProtection="1">
      <alignment wrapText="1"/>
    </xf>
    <xf numFmtId="3" fontId="21" fillId="0" borderId="19" xfId="0" applyNumberFormat="1" applyFont="1" applyFill="1" applyBorder="1" applyProtection="1"/>
    <xf numFmtId="3" fontId="20" fillId="0" borderId="0" xfId="0" applyNumberFormat="1" applyFont="1" applyFill="1" applyBorder="1" applyProtection="1"/>
    <xf numFmtId="0" fontId="20" fillId="0" borderId="0" xfId="0" applyFont="1" applyFill="1" applyBorder="1" applyAlignment="1" applyProtection="1">
      <alignment horizontal="right"/>
    </xf>
    <xf numFmtId="170" fontId="20" fillId="3" borderId="0" xfId="0" applyNumberFormat="1" applyFont="1" applyFill="1" applyBorder="1" applyProtection="1"/>
    <xf numFmtId="170" fontId="20" fillId="0" borderId="0" xfId="1" applyNumberFormat="1" applyFont="1" applyFill="1" applyBorder="1" applyProtection="1">
      <protection locked="0"/>
    </xf>
    <xf numFmtId="170" fontId="20" fillId="0" borderId="0" xfId="0" applyNumberFormat="1" applyFont="1" applyBorder="1" applyProtection="1">
      <protection locked="0"/>
    </xf>
    <xf numFmtId="0" fontId="20" fillId="0" borderId="0" xfId="0" applyFont="1" applyBorder="1" applyAlignment="1" applyProtection="1">
      <alignment horizontal="center"/>
      <protection locked="0"/>
    </xf>
    <xf numFmtId="0" fontId="20" fillId="0" borderId="19" xfId="0" applyFont="1" applyBorder="1" applyAlignment="1" applyProtection="1">
      <alignment wrapText="1"/>
    </xf>
    <xf numFmtId="2" fontId="21" fillId="0" borderId="19" xfId="0" applyNumberFormat="1" applyFont="1" applyBorder="1" applyProtection="1"/>
    <xf numFmtId="0" fontId="11" fillId="4" borderId="2" xfId="0" applyFont="1" applyFill="1" applyBorder="1" applyAlignment="1" applyProtection="1">
      <alignment horizontal="left" wrapText="1"/>
    </xf>
    <xf numFmtId="0" fontId="11" fillId="4" borderId="4" xfId="0" applyFont="1" applyFill="1" applyBorder="1" applyAlignment="1" applyProtection="1">
      <alignment horizontal="left" wrapText="1"/>
    </xf>
  </cellXfs>
  <cellStyles count="3">
    <cellStyle name="Normal" xfId="0" builtinId="0"/>
    <cellStyle name="Normal 2" xfId="2"/>
    <cellStyle name="Procent" xfId="1" builtinId="5"/>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0</xdr:rowOff>
    </xdr:from>
    <xdr:ext cx="7953374" cy="3228975"/>
    <xdr:sp macro="" textlink="">
      <xdr:nvSpPr>
        <xdr:cNvPr id="2" name="textruta 1"/>
        <xdr:cNvSpPr txBox="1"/>
      </xdr:nvSpPr>
      <xdr:spPr>
        <a:xfrm>
          <a:off x="0" y="533400"/>
          <a:ext cx="7953374" cy="3228975"/>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Anvisningar</a:t>
          </a:r>
        </a:p>
        <a:p>
          <a:pPr marL="0" marR="0" indent="0" defTabSz="914400" eaLnBrk="1" fontAlgn="auto" latinLnBrk="0" hangingPunct="1">
            <a:lnSpc>
              <a:spcPct val="100000"/>
            </a:lnSpc>
            <a:spcBef>
              <a:spcPts val="0"/>
            </a:spcBef>
            <a:spcAft>
              <a:spcPts val="0"/>
            </a:spcAft>
            <a:buClrTx/>
            <a:buSzTx/>
            <a:buFontTx/>
            <a:buNone/>
            <a:tabLst/>
            <a:defRPr/>
          </a:pPr>
          <a:endParaRPr lang="sv-SE" sz="9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050" b="0">
              <a:solidFill>
                <a:schemeClr val="tx1"/>
              </a:solidFill>
              <a:effectLst/>
              <a:latin typeface="Cambria" panose="02040503050406030204" pitchFamily="18" charset="0"/>
              <a:ea typeface="+mn-ea"/>
              <a:cs typeface="+mn-cs"/>
            </a:rPr>
            <a:t>I</a:t>
          </a:r>
          <a:r>
            <a:rPr lang="sv-SE" sz="1050" b="0" baseline="0">
              <a:solidFill>
                <a:schemeClr val="tx1"/>
              </a:solidFill>
              <a:effectLst/>
              <a:latin typeface="Cambria" panose="02040503050406030204" pitchFamily="18" charset="0"/>
              <a:ea typeface="+mn-ea"/>
              <a:cs typeface="+mn-cs"/>
            </a:rPr>
            <a:t> </a:t>
          </a:r>
          <a:r>
            <a:rPr lang="sv-SE" sz="1100" b="0" baseline="0">
              <a:solidFill>
                <a:schemeClr val="tx1"/>
              </a:solidFill>
              <a:effectLst/>
              <a:latin typeface="Cambria" panose="02040503050406030204" pitchFamily="18" charset="0"/>
              <a:ea typeface="+mn-ea"/>
              <a:cs typeface="+mn-cs"/>
            </a:rPr>
            <a:t>denna kalkylmall gör du</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mn-lt"/>
              <a:ea typeface="+mn-ea"/>
              <a:cs typeface="+mn-cs"/>
            </a:rPr>
            <a:t>- </a:t>
          </a:r>
          <a:r>
            <a:rPr lang="sv-SE" sz="1100" b="0" baseline="0">
              <a:solidFill>
                <a:schemeClr val="tx1"/>
              </a:solidFill>
              <a:effectLst/>
              <a:latin typeface="Cambria" panose="02040503050406030204" pitchFamily="18" charset="0"/>
              <a:ea typeface="+mn-ea"/>
              <a:cs typeface="+mn-cs"/>
            </a:rPr>
            <a:t>investeringskalkyl</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driftkalkyl för 12 månader</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1) Börja med att fylla i fliken "Investeringskalkyl"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2) Fyll därefter i driftkalkylen. Det finns en flik för varje produktionsgren. Välj den som är aktuell. Övriga flikar kan du ta bort.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 Avskrivningar och ränta beräknas automatiskt med hjälp av de uppgifter du skrivit in i fliken "Investeringskalkyl".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3) När du fyllt i driftkalkylen för aktuellt djurslag så kommer investeringskalkylen att beräknas Fyll sedan i investeringskalkylen</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 Investeringskalkylen bygger på de uppgifter du lagt in i fliken "Investeringsutgift" och fliken "Driftkalkyl" för aktuellt djurslag. </a:t>
          </a:r>
        </a:p>
        <a:p>
          <a:pPr marL="0" marR="0" indent="0" defTabSz="914400" eaLnBrk="1" fontAlgn="auto" latinLnBrk="0" hangingPunct="1">
            <a:lnSpc>
              <a:spcPct val="100000"/>
            </a:lnSpc>
            <a:spcBef>
              <a:spcPts val="0"/>
            </a:spcBef>
            <a:spcAft>
              <a:spcPts val="0"/>
            </a:spcAft>
            <a:buClrTx/>
            <a:buSzTx/>
            <a:buFontTx/>
            <a:buNone/>
            <a:tabLst/>
            <a:defRPr/>
          </a:pPr>
          <a:endParaRPr lang="sv-SE" sz="105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050" b="0" baseline="0">
              <a:solidFill>
                <a:schemeClr val="tx1"/>
              </a:solidFill>
              <a:effectLst/>
              <a:latin typeface="Cambria" panose="02040503050406030204" pitchFamily="18" charset="0"/>
              <a:ea typeface="+mn-ea"/>
              <a:cs typeface="+mn-cs"/>
            </a:rPr>
            <a:t>Kalkylbladen är låsta för att du inte ska råka ändra några formler av misstag. Det går att låsa upp dem under fliken "Granska" och klicka på "Ta bort bladets skydd". Det behövs inget lösenord för att låsa upp kalkylbladen.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323850</xdr:colOff>
      <xdr:row>0</xdr:row>
      <xdr:rowOff>152399</xdr:rowOff>
    </xdr:from>
    <xdr:ext cx="7267575" cy="20678776"/>
    <xdr:sp macro="" textlink="">
      <xdr:nvSpPr>
        <xdr:cNvPr id="2" name="textruta 1"/>
        <xdr:cNvSpPr txBox="1"/>
      </xdr:nvSpPr>
      <xdr:spPr>
        <a:xfrm>
          <a:off x="7496175" y="152399"/>
          <a:ext cx="7267575" cy="20678776"/>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Anvisningar</a:t>
          </a:r>
        </a:p>
        <a:p>
          <a:pPr eaLnBrk="1" fontAlgn="auto" latinLnBrk="0" hangingPunct="1"/>
          <a:endParaRPr lang="sv-SE" sz="9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Automatiska</a:t>
          </a:r>
          <a:r>
            <a:rPr lang="sv-SE" sz="1100" b="1" baseline="0">
              <a:solidFill>
                <a:schemeClr val="tx1"/>
              </a:solidFill>
              <a:effectLst/>
              <a:latin typeface="Cambria" panose="02040503050406030204" pitchFamily="18" charset="0"/>
              <a:ea typeface="+mn-ea"/>
              <a:cs typeface="+mn-cs"/>
            </a:rPr>
            <a:t> beräkningar</a:t>
          </a:r>
          <a:endParaRPr lang="sv-SE" sz="1100">
            <a:effectLst/>
            <a:latin typeface="Cambria" panose="02040503050406030204" pitchFamily="18" charset="0"/>
          </a:endParaRPr>
        </a:p>
        <a:p>
          <a:r>
            <a:rPr lang="sv-SE" sz="1100" b="0">
              <a:solidFill>
                <a:schemeClr val="tx1"/>
              </a:solidFill>
              <a:effectLst/>
              <a:latin typeface="Cambria" panose="02040503050406030204" pitchFamily="18" charset="0"/>
              <a:ea typeface="+mn-ea"/>
              <a:cs typeface="+mn-cs"/>
            </a:rPr>
            <a:t>Celler</a:t>
          </a:r>
          <a:r>
            <a:rPr lang="sv-SE" sz="1100" b="0" baseline="0">
              <a:solidFill>
                <a:schemeClr val="tx1"/>
              </a:solidFill>
              <a:effectLst/>
              <a:latin typeface="Cambria" panose="02040503050406030204" pitchFamily="18" charset="0"/>
              <a:ea typeface="+mn-ea"/>
              <a:cs typeface="+mn-cs"/>
            </a:rPr>
            <a:t> som är markerade med ljusgrön bakgrund beräknas automatiskt. </a:t>
          </a:r>
          <a:endParaRPr lang="sv-SE" sz="1100" b="0">
            <a:solidFill>
              <a:schemeClr val="tx1"/>
            </a:solidFill>
            <a:effectLst/>
            <a:latin typeface="Cambria" panose="02040503050406030204" pitchFamily="18" charset="0"/>
            <a:ea typeface="+mn-ea"/>
            <a:cs typeface="+mn-cs"/>
          </a:endParaRPr>
        </a:p>
        <a:p>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Ange</a:t>
          </a:r>
          <a:r>
            <a:rPr lang="sv-SE" sz="1100" b="1" baseline="0">
              <a:solidFill>
                <a:schemeClr val="tx1"/>
              </a:solidFill>
              <a:effectLst/>
              <a:latin typeface="Cambria" panose="02040503050406030204" pitchFamily="18" charset="0"/>
              <a:ea typeface="+mn-ea"/>
              <a:cs typeface="+mn-cs"/>
            </a:rPr>
            <a:t> typ av stall</a:t>
          </a:r>
          <a:endParaRPr lang="sv-SE" sz="1100">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Rad 2: Beskriv vad det är</a:t>
          </a:r>
          <a:r>
            <a:rPr lang="sv-SE" sz="1100" b="0" baseline="0">
              <a:solidFill>
                <a:schemeClr val="tx1"/>
              </a:solidFill>
              <a:effectLst/>
              <a:latin typeface="Cambria" panose="02040503050406030204" pitchFamily="18" charset="0"/>
              <a:ea typeface="+mn-ea"/>
              <a:cs typeface="+mn-cs"/>
            </a:rPr>
            <a:t> för typ av stall konceptet avser. T.ex. Stall för slaktgrisproduktion </a:t>
          </a:r>
        </a:p>
        <a:p>
          <a:pPr eaLnBrk="1" fontAlgn="auto" latinLnBrk="0" hangingPunct="1"/>
          <a:endParaRPr lang="sv-SE" sz="1100">
            <a:effectLst/>
            <a:latin typeface="Cambria" panose="02040503050406030204" pitchFamily="18" charset="0"/>
          </a:endParaRPr>
        </a:p>
        <a:p>
          <a:pPr eaLnBrk="1" fontAlgn="auto" latinLnBrk="0" hangingPunct="1"/>
          <a:r>
            <a:rPr lang="sv-SE" sz="1100" b="1">
              <a:solidFill>
                <a:schemeClr val="tx1"/>
              </a:solidFill>
              <a:effectLst/>
              <a:latin typeface="Cambria" panose="02040503050406030204" pitchFamily="18" charset="0"/>
              <a:ea typeface="+mn-ea"/>
              <a:cs typeface="+mn-cs"/>
            </a:rPr>
            <a:t>Utvecklingsgrupp</a:t>
          </a:r>
          <a:endParaRPr lang="sv-SE" sz="1100">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Skriv in namn</a:t>
          </a:r>
          <a:r>
            <a:rPr lang="sv-SE" sz="1100" b="0" baseline="0">
              <a:solidFill>
                <a:schemeClr val="tx1"/>
              </a:solidFill>
              <a:effectLst/>
              <a:latin typeface="Cambria" panose="02040503050406030204" pitchFamily="18" charset="0"/>
              <a:ea typeface="+mn-ea"/>
              <a:cs typeface="+mn-cs"/>
            </a:rPr>
            <a:t> och organisation på de personer som ingår i utvecklingsgruppen som tagit fram konceptet.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u="sng" baseline="0">
              <a:solidFill>
                <a:schemeClr val="tx1"/>
              </a:solidFill>
              <a:effectLst/>
              <a:latin typeface="Cambria" panose="02040503050406030204" pitchFamily="18" charset="0"/>
              <a:ea typeface="+mn-ea"/>
              <a:cs typeface="+mn-cs"/>
            </a:rPr>
            <a:t>GRUNDDATA </a:t>
          </a:r>
        </a:p>
        <a:p>
          <a:pPr eaLnBrk="1" fontAlgn="auto" latinLnBrk="0" hangingPunct="1"/>
          <a:r>
            <a:rPr lang="sv-SE" sz="1100" b="1" baseline="0">
              <a:solidFill>
                <a:schemeClr val="tx1"/>
              </a:solidFill>
              <a:effectLst/>
              <a:latin typeface="Cambria" panose="02040503050406030204" pitchFamily="18" charset="0"/>
              <a:ea typeface="+mn-ea"/>
              <a:cs typeface="+mn-cs"/>
            </a:rPr>
            <a:t>Antal djurplatser</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Ange hur många djurplatser stallet är dimensionerat för.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T.ex.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 X mjölkkor</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 Y suggor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 Z slakgrisar</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Denna uppgift används för att räkna ut investeringsutgiften per djurplats. Det är därför viktigt att du anger antalet djurplatser med samma enhet som framgår av kraven på maximal investeringsutgift, se "Investeringsutgift per djurplats" nedan. </a:t>
          </a:r>
        </a:p>
        <a:p>
          <a:pPr eaLnBrk="1" fontAlgn="auto" latinLnBrk="0" hangingPunct="1"/>
          <a:r>
            <a:rPr lang="sv-SE" sz="1100" b="0" baseline="0">
              <a:solidFill>
                <a:schemeClr val="tx1"/>
              </a:solidFill>
              <a:effectLst/>
              <a:latin typeface="Cambria" panose="02040503050406030204" pitchFamily="18" charset="0"/>
              <a:ea typeface="+mn-ea"/>
              <a:cs typeface="+mn-cs"/>
            </a:rPr>
            <a:t>Välj djurslag i rullistan.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Yta</a:t>
          </a:r>
        </a:p>
        <a:p>
          <a:pPr marL="0" marR="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Ange</a:t>
          </a:r>
          <a:r>
            <a:rPr lang="sv-SE" sz="1100" b="0" baseline="0">
              <a:solidFill>
                <a:schemeClr val="tx1"/>
              </a:solidFill>
              <a:effectLst/>
              <a:latin typeface="Cambria" panose="02040503050406030204" pitchFamily="18" charset="0"/>
              <a:ea typeface="+mn-ea"/>
              <a:cs typeface="+mn-cs"/>
            </a:rPr>
            <a:t> ytan på stallet, serviceutrymmen respektive utrymmen för visning.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u="sng" baseline="0">
              <a:solidFill>
                <a:schemeClr val="tx1"/>
              </a:solidFill>
              <a:effectLst/>
              <a:latin typeface="Cambria" panose="02040503050406030204" pitchFamily="18" charset="0"/>
              <a:ea typeface="+mn-ea"/>
              <a:cs typeface="+mn-cs"/>
            </a:rPr>
            <a:t>INVESTERINGSKALKYL</a:t>
          </a:r>
        </a:p>
        <a:p>
          <a:pPr marL="0" marR="0" indent="0" defTabSz="914400" eaLnBrk="1" fontAlgn="auto" latinLnBrk="0" hangingPunct="1">
            <a:lnSpc>
              <a:spcPct val="100000"/>
            </a:lnSpc>
            <a:spcBef>
              <a:spcPts val="0"/>
            </a:spcBef>
            <a:spcAft>
              <a:spcPts val="0"/>
            </a:spcAft>
            <a:buClrTx/>
            <a:buSzTx/>
            <a:buFontTx/>
            <a:buNone/>
            <a:tabLst/>
            <a:defRPr/>
          </a:pPr>
          <a:r>
            <a:rPr lang="sv-SE" sz="1100" b="1" i="0" baseline="0">
              <a:solidFill>
                <a:schemeClr val="tx1"/>
              </a:solidFill>
              <a:effectLst/>
              <a:latin typeface="Cambria" panose="02040503050406030204" pitchFamily="18" charset="0"/>
              <a:ea typeface="+mn-ea"/>
              <a:cs typeface="+mn-cs"/>
            </a:rPr>
            <a:t>Investeringsutgift </a:t>
          </a:r>
        </a:p>
        <a:p>
          <a:pPr marL="0" marR="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tx1"/>
              </a:solidFill>
              <a:effectLst/>
              <a:latin typeface="Cambria" panose="02040503050406030204" pitchFamily="18" charset="0"/>
              <a:ea typeface="+mn-ea"/>
              <a:cs typeface="+mn-cs"/>
            </a:rPr>
            <a:t>Beloppet hämtas när du har fyllt i uppgifter om investeringsutgift på denna flik. </a:t>
          </a:r>
        </a:p>
        <a:p>
          <a:pPr marL="0" marR="0" indent="0" defTabSz="914400" eaLnBrk="1" fontAlgn="auto" latinLnBrk="0" hangingPunct="1">
            <a:lnSpc>
              <a:spcPct val="100000"/>
            </a:lnSpc>
            <a:spcBef>
              <a:spcPts val="0"/>
            </a:spcBef>
            <a:spcAft>
              <a:spcPts val="0"/>
            </a:spcAft>
            <a:buClrTx/>
            <a:buSzTx/>
            <a:buFontTx/>
            <a:buNone/>
            <a:tabLst/>
            <a:defRPr/>
          </a:pPr>
          <a:endParaRPr lang="sv-SE" sz="1100" b="0" i="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i="0" baseline="0">
              <a:solidFill>
                <a:schemeClr val="tx1"/>
              </a:solidFill>
              <a:effectLst/>
              <a:latin typeface="Cambria" panose="02040503050406030204" pitchFamily="18" charset="0"/>
              <a:ea typeface="+mn-ea"/>
              <a:cs typeface="+mn-cs"/>
            </a:rPr>
            <a:t>Driftnetto</a:t>
          </a:r>
        </a:p>
        <a:p>
          <a:pPr marL="0" marR="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tx1"/>
              </a:solidFill>
              <a:effectLst/>
              <a:latin typeface="Cambria" panose="02040503050406030204" pitchFamily="18" charset="0"/>
              <a:ea typeface="+mn-ea"/>
              <a:cs typeface="+mn-cs"/>
            </a:rPr>
            <a:t>Hämtas från driftskalkylen när du har fyllt i den på annan flik i kalkylmallen. </a:t>
          </a:r>
        </a:p>
        <a:p>
          <a:pPr marL="0" marR="0" indent="0" defTabSz="914400" eaLnBrk="1" fontAlgn="auto" latinLnBrk="0" hangingPunct="1">
            <a:lnSpc>
              <a:spcPct val="100000"/>
            </a:lnSpc>
            <a:spcBef>
              <a:spcPts val="0"/>
            </a:spcBef>
            <a:spcAft>
              <a:spcPts val="0"/>
            </a:spcAft>
            <a:buClrTx/>
            <a:buSzTx/>
            <a:buFontTx/>
            <a:buNone/>
            <a:tabLst/>
            <a:defRPr/>
          </a:pPr>
          <a:endParaRPr lang="sv-SE" sz="1100" b="1" i="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i="0" baseline="0">
              <a:solidFill>
                <a:schemeClr val="tx1"/>
              </a:solidFill>
              <a:effectLst/>
              <a:latin typeface="Cambria" panose="02040503050406030204" pitchFamily="18" charset="0"/>
              <a:ea typeface="+mn-ea"/>
              <a:cs typeface="+mn-cs"/>
            </a:rPr>
            <a:t>Ekonomisk livslängd </a:t>
          </a:r>
        </a:p>
        <a:p>
          <a:pPr marL="0" marR="0" indent="0" defTabSz="914400" eaLnBrk="1" fontAlgn="auto" latinLnBrk="0" hangingPunct="1">
            <a:lnSpc>
              <a:spcPct val="100000"/>
            </a:lnSpc>
            <a:spcBef>
              <a:spcPts val="0"/>
            </a:spcBef>
            <a:spcAft>
              <a:spcPts val="0"/>
            </a:spcAft>
            <a:buClrTx/>
            <a:buSzTx/>
            <a:buFontTx/>
            <a:buNone/>
            <a:tabLst/>
            <a:defRPr/>
          </a:pPr>
          <a:r>
            <a:rPr lang="sv-SE" sz="1100" i="0" baseline="0">
              <a:solidFill>
                <a:schemeClr val="tx1"/>
              </a:solidFill>
              <a:effectLst/>
              <a:latin typeface="Cambria" panose="02040503050406030204" pitchFamily="18" charset="0"/>
              <a:ea typeface="+mn-ea"/>
              <a:cs typeface="+mn-cs"/>
            </a:rPr>
            <a:t>Ange hur lång den ekonomiska livslängden är för investeringen (10-15 år beroende på konstruktion och materialval). Den ekonomiska livslängden får inte vara längre än 15 år i kalkylen. </a:t>
          </a:r>
          <a:endParaRPr lang="sv-SE" sz="1100" i="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r>
            <a:rPr lang="sv-SE" sz="1100" b="1" baseline="0">
              <a:solidFill>
                <a:schemeClr val="tx1"/>
              </a:solidFill>
              <a:effectLst/>
              <a:latin typeface="Cambria" panose="02040503050406030204" pitchFamily="18" charset="0"/>
              <a:ea typeface="+mn-ea"/>
              <a:cs typeface="+mn-cs"/>
            </a:rPr>
            <a:t>Hur beräknas nettonuvärdet?</a:t>
          </a:r>
          <a:endParaRPr lang="sv-SE" sz="1100">
            <a:effectLst/>
            <a:latin typeface="Cambria" panose="02040503050406030204" pitchFamily="18" charset="0"/>
          </a:endParaRPr>
        </a:p>
        <a:p>
          <a:pPr eaLnBrk="1" fontAlgn="auto" latinLnBrk="0" hangingPunct="1"/>
          <a:r>
            <a:rPr lang="sv-SE" sz="1100" baseline="0">
              <a:solidFill>
                <a:schemeClr val="tx1"/>
              </a:solidFill>
              <a:effectLst/>
              <a:latin typeface="Cambria" panose="02040503050406030204" pitchFamily="18" charset="0"/>
              <a:ea typeface="+mn-ea"/>
              <a:cs typeface="+mn-cs"/>
            </a:rPr>
            <a:t>Beräkningen av investeringens nettonuvärde sker automatiskt när du fyllt i uppgifter om investeringsutgiften samt driftkalkyl för aktuell produktionsgren. </a:t>
          </a:r>
        </a:p>
        <a:p>
          <a:pPr eaLnBrk="1" fontAlgn="auto" latinLnBrk="0" hangingPunct="1"/>
          <a:endParaRPr lang="sv-SE" sz="1100">
            <a:effectLst/>
            <a:latin typeface="Cambria" panose="02040503050406030204" pitchFamily="18" charset="0"/>
          </a:endParaRPr>
        </a:p>
        <a:p>
          <a:pPr eaLnBrk="1" fontAlgn="auto" latinLnBrk="0" hangingPunct="1"/>
          <a:r>
            <a:rPr lang="sv-SE" sz="1100" baseline="0">
              <a:solidFill>
                <a:schemeClr val="tx1"/>
              </a:solidFill>
              <a:effectLst/>
              <a:latin typeface="Cambria" panose="02040503050406030204" pitchFamily="18" charset="0"/>
              <a:ea typeface="+mn-ea"/>
              <a:cs typeface="+mn-cs"/>
            </a:rPr>
            <a:t>Nettonuvärdet är en samlad bedömning av investeringens lönsamhet under hela den ekonomiska livslängden. Nuvärdet tar hänsyn till pengarnas tidsvärde. (100 kr är värt mer idag än om till exempel två år.) Investeringen ska klara ett avkastningskrav (nominell kalkylränta) på 5 %. </a:t>
          </a:r>
        </a:p>
        <a:p>
          <a:pPr eaLnBrk="1" fontAlgn="auto" latinLnBrk="0" hangingPunct="1"/>
          <a:endParaRPr lang="sv-SE" sz="1100">
            <a:effectLst/>
            <a:latin typeface="Cambria" panose="02040503050406030204" pitchFamily="18" charset="0"/>
          </a:endParaRPr>
        </a:p>
        <a:p>
          <a:pPr eaLnBrk="1" fontAlgn="auto" latinLnBrk="0" hangingPunct="1"/>
          <a:r>
            <a:rPr lang="sv-SE" sz="1100" baseline="0">
              <a:solidFill>
                <a:schemeClr val="tx1"/>
              </a:solidFill>
              <a:effectLst/>
              <a:latin typeface="Cambria" panose="02040503050406030204" pitchFamily="18" charset="0"/>
              <a:ea typeface="+mn-ea"/>
              <a:cs typeface="+mn-cs"/>
            </a:rPr>
            <a:t>I kalkylen används driftnettot från driftskalkylen från år 1 (exklusive avskrivningar och ränta, eftersom nuvärdekalkylen redan tar hänsyn till avskrivningar och ränta). Driftkalkylen visar det ekonomiska utfallet år 1 med antagandet att investeringen är i full drift redan år 1, ä</a:t>
          </a:r>
          <a:r>
            <a:rPr lang="sv-SE" sz="1100" b="0" baseline="0">
              <a:solidFill>
                <a:schemeClr val="tx1"/>
              </a:solidFill>
              <a:effectLst/>
              <a:latin typeface="Cambria" panose="02040503050406030204" pitchFamily="18" charset="0"/>
              <a:ea typeface="+mn-ea"/>
              <a:cs typeface="+mn-cs"/>
            </a:rPr>
            <a:t>ven om det i praktiken tar längre tid att komma upp i full produktion. </a:t>
          </a:r>
          <a:r>
            <a:rPr lang="sv-SE" sz="1100">
              <a:solidFill>
                <a:schemeClr val="tx1"/>
              </a:solidFill>
              <a:effectLst/>
              <a:latin typeface="Cambria" panose="02040503050406030204" pitchFamily="18" charset="0"/>
              <a:ea typeface="+mn-ea"/>
              <a:cs typeface="+mn-cs"/>
            </a:rPr>
            <a:t>Detta är en förenkling för att inte behöva göra driftskalkyler för alla år under stallets ekonomiska livslängd. Driftskalkylen för år 1 med full drift används i kalkylen som ett uppskattat genomsnitt av alla år under den ekonomiska livslängden. Vid</a:t>
          </a:r>
          <a:r>
            <a:rPr lang="sv-SE" sz="1100" baseline="0">
              <a:solidFill>
                <a:schemeClr val="tx1"/>
              </a:solidFill>
              <a:effectLst/>
              <a:latin typeface="Cambria" panose="02040503050406030204" pitchFamily="18" charset="0"/>
              <a:ea typeface="+mn-ea"/>
              <a:cs typeface="+mn-cs"/>
            </a:rPr>
            <a:t> beräkningen av nuvärdet antas att driftnettot år 1 kommer att följa inflationen under den ekonomiska livslängden. Inflationen uppskattas till 1% per år. </a:t>
          </a:r>
        </a:p>
        <a:p>
          <a:pPr eaLnBrk="1" fontAlgn="auto" latinLnBrk="0" hangingPunct="1"/>
          <a:endParaRPr lang="sv-SE" sz="1100" baseline="0">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Driftskalkylen omfattar de huvudsakliga intäkter och kostnader som kan kopplas till stallet. </a:t>
          </a: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Cambria" panose="02040503050406030204" pitchFamily="18" charset="0"/>
              <a:ea typeface="+mn-ea"/>
              <a:cs typeface="+mn-cs"/>
            </a:rPr>
            <a:t>Av förenklingsskäl ingår inte riktigt alla tänkbara kostnader i kalkylen. Vinstmarginalen ska täcka till exempel uppstartskostnader innan stallet är i full drift, administration och andra gemensamma kostnader för företaget samt skatt och vinst. Det innebär att vinstmarginalen i företaget som helhet i praktiken kan skilja sig från vinstmarginalen för stallet. Kalkylen bygger också på att stödnivåerna är oförändrade under stallets ekonomiska livslängd, vilket också är en kalkylmässig förenkling som kan påverkar den verkliga vinstmarginalen. </a:t>
          </a:r>
          <a:endParaRPr lang="sv-SE">
            <a:effectLst/>
            <a:latin typeface="Cambria" panose="02040503050406030204" pitchFamily="18" charset="0"/>
          </a:endParaRPr>
        </a:p>
        <a:p>
          <a:pPr eaLnBrk="1" fontAlgn="auto" latinLnBrk="0" hangingPunct="1"/>
          <a:r>
            <a:rPr lang="sv-SE" sz="1100">
              <a:solidFill>
                <a:schemeClr val="tx1"/>
              </a:solidFill>
              <a:effectLst/>
              <a:latin typeface="Cambria" panose="02040503050406030204" pitchFamily="18" charset="0"/>
              <a:ea typeface="+mn-ea"/>
              <a:cs typeface="+mn-cs"/>
            </a:rPr>
            <a:t> </a:t>
          </a:r>
          <a:endParaRPr lang="sv-SE" sz="1100">
            <a:effectLst/>
            <a:latin typeface="Cambria" panose="02040503050406030204" pitchFamily="18" charset="0"/>
          </a:endParaRPr>
        </a:p>
        <a:p>
          <a:r>
            <a:rPr lang="sv-SE" sz="1100" b="1" baseline="0">
              <a:solidFill>
                <a:schemeClr val="tx1"/>
              </a:solidFill>
              <a:effectLst/>
              <a:latin typeface="Cambria" panose="02040503050406030204" pitchFamily="18" charset="0"/>
              <a:ea typeface="+mn-ea"/>
              <a:cs typeface="+mn-cs"/>
            </a:rPr>
            <a:t>Hur tolkar du nettonuvärdet?</a:t>
          </a:r>
          <a:endParaRPr lang="sv-SE" sz="1100">
            <a:effectLst/>
            <a:latin typeface="Cambria" panose="02040503050406030204" pitchFamily="18" charset="0"/>
          </a:endParaRPr>
        </a:p>
        <a:p>
          <a:r>
            <a:rPr lang="sv-SE" sz="1100" b="0" baseline="0">
              <a:solidFill>
                <a:schemeClr val="tx1"/>
              </a:solidFill>
              <a:effectLst/>
              <a:latin typeface="Cambria" panose="02040503050406030204" pitchFamily="18" charset="0"/>
              <a:ea typeface="+mn-ea"/>
              <a:cs typeface="+mn-cs"/>
            </a:rPr>
            <a:t>Om nettonuvärdet är minst 0 kr så klarar stallkonceptet avkastningskravet på 5% (nominellt). </a:t>
          </a:r>
          <a:endParaRPr lang="sv-SE" sz="1100">
            <a:effectLst/>
            <a:latin typeface="Cambria" panose="02040503050406030204" pitchFamily="18" charset="0"/>
          </a:endParaRPr>
        </a:p>
        <a:p>
          <a:r>
            <a:rPr lang="sv-SE" sz="1100" b="0" baseline="0">
              <a:solidFill>
                <a:schemeClr val="tx1"/>
              </a:solidFill>
              <a:effectLst/>
              <a:latin typeface="Cambria" panose="02040503050406030204" pitchFamily="18" charset="0"/>
              <a:ea typeface="+mn-ea"/>
              <a:cs typeface="+mn-cs"/>
            </a:rPr>
            <a:t>Om nettonuvärdet är större än 0 kr är avkastningen på investeringen större än 5%. </a:t>
          </a:r>
          <a:endParaRPr lang="sv-SE" sz="1100">
            <a:effectLst/>
            <a:latin typeface="Cambria" panose="02040503050406030204" pitchFamily="18" charset="0"/>
          </a:endParaRPr>
        </a:p>
        <a:p>
          <a:r>
            <a:rPr lang="sv-SE" sz="1100" b="0" baseline="0">
              <a:solidFill>
                <a:schemeClr val="tx1"/>
              </a:solidFill>
              <a:effectLst/>
              <a:latin typeface="Cambria" panose="02040503050406030204" pitchFamily="18" charset="0"/>
              <a:ea typeface="+mn-ea"/>
              <a:cs typeface="+mn-cs"/>
            </a:rPr>
            <a:t>Om nettonuvärdet är negativt så klarar inte stallkonceptet avkastningskravet på 5%.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u="sng" baseline="0">
              <a:solidFill>
                <a:schemeClr val="tx1"/>
              </a:solidFill>
              <a:effectLst/>
              <a:latin typeface="Cambria" panose="02040503050406030204" pitchFamily="18" charset="0"/>
              <a:ea typeface="+mn-ea"/>
              <a:cs typeface="+mn-cs"/>
            </a:rPr>
            <a:t>INVESTERINGSUTGIFT</a:t>
          </a: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Lägg</a:t>
          </a:r>
          <a:r>
            <a:rPr lang="sv-SE" sz="1100" b="1" baseline="0">
              <a:solidFill>
                <a:schemeClr val="tx1"/>
              </a:solidFill>
              <a:effectLst/>
              <a:latin typeface="Cambria" panose="02040503050406030204" pitchFamily="18" charset="0"/>
              <a:ea typeface="+mn-ea"/>
              <a:cs typeface="+mn-cs"/>
            </a:rPr>
            <a:t> till poster vid behov</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Om någon kalkylpost saknas går det bra att lägga till rader. Försök att använda befintliga rubriker. I undantagsfall kan du lägga till nya rubriker. Det går bra att dela upp en befintlig kalkylpost i flera poster.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Kontrollera att alla summeringar/formler blivit rätt om du lägger till rader.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Om en post inte är aktuell lämnar du raden tom. Ta inte bort raden. Skriv i not varför posten inte är aktuell.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Not</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Till varje kalkylpost ska du skriva en not. Noterna numreras löpande. Om du lägger till rader får du ändra numreringen på de rader som kommer efter. I noten förklarar du hur du har räknat fram beloppet och volymen. Noterna skriver du i en särskild bilaga som finns i rapportmallen.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Enhet</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I kolumnen anger du enheten för volymen av varje kalkylpost, till exempel: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st</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meter</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m2</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Utgift</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Alla utgifter anges i svenska kronor (SEK) exklusive moms.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Eget arbete &amp; eget material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Kom ihåg att även räkna med eventuellt eget arbete och eget material i den totala investeringsutgiften. Eget arbete ska värderas till minst 220 kr per timme. Eget material värderas till den utgift som hade betalats om materialet istället köps in. </a:t>
          </a: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Inredning, utrustning &amp; maskiner</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Precisera vilken inredning, utrustning och maskiner som ska finnas i stallet. </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Cambria" panose="02040503050406030204" pitchFamily="18" charset="0"/>
              <a:ea typeface="+mn-ea"/>
              <a:cs typeface="+mn-cs"/>
            </a:rPr>
            <a:t>Investeringsutgift för traktor, lastmaskin eller liknande mobil maskin som både används i stallet och för andra ändamål ska ingå i kalkylerna, men endast med den andel som de används i stallet. Maskiner som endast används för driften av stallet ska ingå i sin helhet (till exempel fodermaskiner och strömaskiner). </a:t>
          </a: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Ränta</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Här anger du räntan som uppstår under byggtiden. Du ska räkna med 5 % ränta per år på de belopp som ska betalas innan stallet är färdigt att börja användas. Gör en översiktlig sammanställning av när i tiden olika belopp av investeringsutgiften beräknas behöva betalas och beräkna räntan utifrån sammanställningen. Redovisa beräkningen i noten. </a:t>
          </a: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Investeringsstöd</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Stödet beräknas enligt schablon till 40% av investeringsutgiften, dock högst 1 200 000 kr.</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Investeringsutgift per djurplats</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Maximal investeringsutgift (efter avräknat investeringsstöd enligt schablon) framgår av uppdragsspecifikationen och är: </a:t>
          </a:r>
        </a:p>
        <a:p>
          <a:pPr lvl="0" hangingPunct="0"/>
          <a:r>
            <a:rPr lang="sv-SE" sz="1100">
              <a:solidFill>
                <a:schemeClr val="tx1"/>
              </a:solidFill>
              <a:effectLst/>
              <a:latin typeface="Cambria" panose="02040503050406030204" pitchFamily="18" charset="0"/>
              <a:ea typeface="+mn-ea"/>
              <a:cs typeface="+mn-cs"/>
            </a:rPr>
            <a:t>- 40 000 kr per suggplats</a:t>
          </a:r>
        </a:p>
        <a:p>
          <a:pPr lvl="0" hangingPunct="0"/>
          <a:r>
            <a:rPr lang="sv-SE" sz="1100">
              <a:solidFill>
                <a:schemeClr val="tx1"/>
              </a:solidFill>
              <a:effectLst/>
              <a:latin typeface="Cambria" panose="02040503050406030204" pitchFamily="18" charset="0"/>
              <a:ea typeface="+mn-ea"/>
              <a:cs typeface="+mn-cs"/>
            </a:rPr>
            <a:t>- 5 000 kr per slaktgrisplats</a:t>
          </a:r>
        </a:p>
        <a:p>
          <a:pPr lvl="0" hangingPunct="0"/>
          <a:r>
            <a:rPr lang="sv-SE" sz="1100">
              <a:solidFill>
                <a:schemeClr val="tx1"/>
              </a:solidFill>
              <a:effectLst/>
              <a:latin typeface="Cambria" panose="02040503050406030204" pitchFamily="18" charset="0"/>
              <a:ea typeface="+mn-ea"/>
              <a:cs typeface="+mn-cs"/>
            </a:rPr>
            <a:t>- 50 000 kr per koplats (inkl. sinkor &amp; kalvar upp till 3 mån)</a:t>
          </a:r>
        </a:p>
        <a:p>
          <a:pPr lvl="0" hangingPunct="0"/>
          <a:r>
            <a:rPr lang="sv-SE" sz="1100">
              <a:solidFill>
                <a:schemeClr val="tx1"/>
              </a:solidFill>
              <a:effectLst/>
              <a:latin typeface="Cambria" panose="02040503050406030204" pitchFamily="18" charset="0"/>
              <a:ea typeface="+mn-ea"/>
              <a:cs typeface="+mn-cs"/>
            </a:rPr>
            <a:t>- 3 000 kr per tacka</a:t>
          </a:r>
        </a:p>
        <a:p>
          <a:pPr lvl="0" hangingPunct="0"/>
          <a:r>
            <a:rPr lang="sv-SE" sz="1100">
              <a:solidFill>
                <a:schemeClr val="tx1"/>
              </a:solidFill>
              <a:effectLst/>
              <a:latin typeface="Cambria" panose="02040503050406030204" pitchFamily="18" charset="0"/>
              <a:ea typeface="+mn-ea"/>
              <a:cs typeface="+mn-cs"/>
            </a:rPr>
            <a:t>- 20 000 kr per dikoplats </a:t>
          </a:r>
        </a:p>
        <a:p>
          <a:pPr lvl="0" hangingPunct="0"/>
          <a:r>
            <a:rPr lang="sv-SE" sz="1100">
              <a:solidFill>
                <a:schemeClr val="tx1"/>
              </a:solidFill>
              <a:effectLst/>
              <a:latin typeface="Cambria" panose="02040503050406030204" pitchFamily="18" charset="0"/>
              <a:ea typeface="+mn-ea"/>
              <a:cs typeface="+mn-cs"/>
            </a:rPr>
            <a:t>- 25 000 kr per slaktungnötplats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Utrymmen för visning</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Ange belopp för utrymmen som används särskilt för detta ändamål. Detta belopp ingår inte vid bedömning av investeringsutgift per djurplats eller vid beräkning av räntor och avskrivningar i driftskalkyl eller investeringskalkyl. Investeringsutgiften </a:t>
          </a:r>
          <a:r>
            <a:rPr lang="sv-SE" sz="1100" b="1" i="1" baseline="0">
              <a:solidFill>
                <a:schemeClr val="tx1"/>
              </a:solidFill>
              <a:effectLst/>
              <a:latin typeface="Cambria" panose="02040503050406030204" pitchFamily="18" charset="0"/>
              <a:ea typeface="+mn-ea"/>
              <a:cs typeface="+mn-cs"/>
            </a:rPr>
            <a:t>bör</a:t>
          </a:r>
          <a:r>
            <a:rPr lang="sv-SE" sz="1100" b="0" baseline="0">
              <a:solidFill>
                <a:schemeClr val="tx1"/>
              </a:solidFill>
              <a:effectLst/>
              <a:latin typeface="Cambria" panose="02040503050406030204" pitchFamily="18" charset="0"/>
              <a:ea typeface="+mn-ea"/>
              <a:cs typeface="+mn-cs"/>
            </a:rPr>
            <a:t> inte vara högre än 200 000 kr. </a:t>
          </a:r>
        </a:p>
        <a:p>
          <a:pPr marL="0" marR="0" indent="0" defTabSz="914400" eaLnBrk="1" fontAlgn="auto" latinLnBrk="0" hangingPunct="1">
            <a:lnSpc>
              <a:spcPct val="100000"/>
            </a:lnSpc>
            <a:spcBef>
              <a:spcPts val="0"/>
            </a:spcBef>
            <a:spcAft>
              <a:spcPts val="0"/>
            </a:spcAft>
            <a:buClrTx/>
            <a:buSzTx/>
            <a:buFontTx/>
            <a:buNone/>
            <a:tabLst/>
            <a:defRPr/>
          </a:pPr>
          <a:endParaRPr lang="sv-SE" sz="1100">
            <a:effectLst/>
            <a:latin typeface="Cambria" panose="02040503050406030204" pitchFamily="18" charset="0"/>
          </a:endParaRPr>
        </a:p>
      </xdr:txBody>
    </xdr:sp>
    <xdr:clientData/>
  </xdr:oneCellAnchor>
  <xdr:oneCellAnchor>
    <xdr:from>
      <xdr:col>4</xdr:col>
      <xdr:colOff>99060</xdr:colOff>
      <xdr:row>3</xdr:row>
      <xdr:rowOff>7620</xdr:rowOff>
    </xdr:from>
    <xdr:ext cx="2381249" cy="1257300"/>
    <xdr:sp macro="" textlink="">
      <xdr:nvSpPr>
        <xdr:cNvPr id="3" name="textruta 2"/>
        <xdr:cNvSpPr txBox="1"/>
      </xdr:nvSpPr>
      <xdr:spPr>
        <a:xfrm>
          <a:off x="5410200" y="762000"/>
          <a:ext cx="2381249" cy="1257300"/>
        </a:xfrm>
        <a:prstGeom prst="rect">
          <a:avLst/>
        </a:prstGeom>
        <a:solidFill>
          <a:srgbClr val="FFFF00"/>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Mer information</a:t>
          </a:r>
        </a:p>
        <a:p>
          <a:pPr eaLnBrk="1" fontAlgn="auto" latinLnBrk="0" hangingPunct="1"/>
          <a:endParaRPr lang="sv-SE" sz="900" b="1">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I rapporten som beskriver</a:t>
          </a:r>
          <a:r>
            <a:rPr lang="sv-SE" sz="1100" baseline="0">
              <a:solidFill>
                <a:schemeClr val="tx1"/>
              </a:solidFill>
              <a:effectLst/>
              <a:latin typeface="Cambria" panose="02040503050406030204" pitchFamily="18" charset="0"/>
              <a:ea typeface="+mn-ea"/>
              <a:cs typeface="+mn-cs"/>
            </a:rPr>
            <a:t> stallet finns noter till posterna i kalkylen. Där finns mer information om vad som ingår i varje post.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552450</xdr:colOff>
      <xdr:row>0</xdr:row>
      <xdr:rowOff>76200</xdr:rowOff>
    </xdr:from>
    <xdr:ext cx="7267575" cy="15049500"/>
    <xdr:sp macro="" textlink="">
      <xdr:nvSpPr>
        <xdr:cNvPr id="2" name="textruta 1"/>
        <xdr:cNvSpPr txBox="1"/>
      </xdr:nvSpPr>
      <xdr:spPr>
        <a:xfrm>
          <a:off x="7972425" y="76200"/>
          <a:ext cx="7267575" cy="15049500"/>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sv-SE" sz="1600" b="1">
              <a:solidFill>
                <a:schemeClr val="tx1"/>
              </a:solidFill>
              <a:effectLst/>
              <a:latin typeface="Cambria" panose="02040503050406030204" pitchFamily="18" charset="0"/>
              <a:ea typeface="+mn-ea"/>
              <a:cs typeface="+mn-cs"/>
            </a:rPr>
            <a:t>Anvisningar Slaktgrisar</a:t>
          </a:r>
          <a:endParaRPr lang="sv-SE" sz="16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Vad ska jag räkna med i kalkylen</a:t>
          </a:r>
          <a:r>
            <a:rPr lang="sv-SE" sz="1100" b="1" baseline="0">
              <a:solidFill>
                <a:schemeClr val="tx1"/>
              </a:solidFill>
              <a:effectLst/>
              <a:latin typeface="Cambria" panose="02040503050406030204" pitchFamily="18" charset="0"/>
              <a:ea typeface="+mn-ea"/>
              <a:cs typeface="+mn-cs"/>
            </a:rPr>
            <a:t>?</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Driftkalkylen ska innehålla alla intäkter och kostnader som stallet medför under 12 månader. </a:t>
          </a:r>
          <a:r>
            <a:rPr lang="sv-SE" sz="1100">
              <a:solidFill>
                <a:schemeClr val="tx1"/>
              </a:solidFill>
              <a:effectLst/>
              <a:latin typeface="Cambria" panose="02040503050406030204" pitchFamily="18" charset="0"/>
              <a:ea typeface="+mn-ea"/>
              <a:cs typeface="+mn-cs"/>
            </a:rPr>
            <a:t>Av förenklingsskäl ingår inte riktigt alla tänkbara kostnader i kalkylen. Vinstmarginalen ska täcka till exempel uppstartskostnader innan stallet är i full drift, administration och andra gemensamma kostnader för företaget samt skatt och vinst. Det innebär att vinstmarginalen i företaget som helhet i praktiken kan skilja sig från vinstmarginalen för stallet. Kalkylen bygger också på att stödnivåerna är oförändrade under stallets ekonomiska livslängd, vilket också är en kalkylmässig förenkling som kan påverkar den verkliga vinstmarginalen. </a:t>
          </a:r>
          <a:endParaRPr lang="sv-SE">
            <a:effectLst/>
            <a:latin typeface="Cambria" panose="02040503050406030204" pitchFamily="18" charset="0"/>
          </a:endParaRPr>
        </a:p>
        <a:p>
          <a:pPr eaLnBrk="1" fontAlgn="auto" latinLnBrk="0" hangingPunct="1"/>
          <a:endParaRPr lang="sv-SE" sz="1100">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De intäkter och kostnader som tas upp i kalkylen för konceptet ska baseras på utfallet de 2–3 senaste åren i verksamheten som bedrivs av den jordbrukare som igår i utvecklingsgruppen, om inget annat framgår av anvisningarna i kalkylmallen. Om det finns skäl får andra värden användas. Det innebär till exempel att erfarenheter av nivåerna för foderpriser de senaste åren bör vara utgångspunkten i bedömningen av foderpriset i kalkylen. Om till exempel inköpta volymer ökar och det är rimligt att räkna med ett bättre pris på grund av större volymer så justeras värdet i kalkylen. Kalkylvärdena kan även justeras när andra förutsättningar förändras jämfört med förutsättningarna för värdena de senaste åren. </a:t>
          </a:r>
        </a:p>
        <a:p>
          <a:pPr eaLnBrk="1" fontAlgn="auto" latinLnBrk="0" hangingPunct="1"/>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Full produktion från</a:t>
          </a:r>
          <a:r>
            <a:rPr lang="sv-SE" sz="1100" b="1" baseline="0">
              <a:solidFill>
                <a:schemeClr val="tx1"/>
              </a:solidFill>
              <a:effectLst/>
              <a:latin typeface="Cambria" panose="02040503050406030204" pitchFamily="18" charset="0"/>
              <a:ea typeface="+mn-ea"/>
              <a:cs typeface="+mn-cs"/>
            </a:rPr>
            <a:t> år 1</a:t>
          </a:r>
          <a:endParaRPr lang="sv-SE">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Kalkylen</a:t>
          </a:r>
          <a:r>
            <a:rPr lang="sv-SE" sz="1100" b="0" baseline="0">
              <a:solidFill>
                <a:schemeClr val="tx1"/>
              </a:solidFill>
              <a:effectLst/>
              <a:latin typeface="Cambria" panose="02040503050406030204" pitchFamily="18" charset="0"/>
              <a:ea typeface="+mn-ea"/>
              <a:cs typeface="+mn-cs"/>
            </a:rPr>
            <a:t> ska visa driften år 1 med full produktion. Även om det i praktiken tar längre tid att komma upp i full produktion, ska kalkylen göras med full produktion redan från år 1. </a:t>
          </a:r>
          <a:r>
            <a:rPr lang="sv-SE" sz="1100">
              <a:solidFill>
                <a:schemeClr val="tx1"/>
              </a:solidFill>
              <a:effectLst/>
              <a:latin typeface="Cambria" panose="02040503050406030204" pitchFamily="18" charset="0"/>
              <a:ea typeface="+mn-ea"/>
              <a:cs typeface="+mn-cs"/>
            </a:rPr>
            <a:t>Detta är en förenkling för att inte behöva göra driftkalkyler för alla år under stallets ekonomiska livslängd. Driftskalkylen för år 1 med full drift används i kalkylen som ett uppskattat genomsnitt av alla år under den ekonomiska livslängden.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ysClr val="windowText" lastClr="000000"/>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ysClr val="windowText" lastClr="000000"/>
              </a:solidFill>
              <a:effectLst/>
              <a:latin typeface="Cambria" panose="02040503050406030204" pitchFamily="18" charset="0"/>
              <a:ea typeface="+mn-ea"/>
              <a:cs typeface="+mn-cs"/>
            </a:rPr>
            <a:t>Får jag</a:t>
          </a:r>
          <a:r>
            <a:rPr lang="sv-SE" sz="1100" b="1" baseline="0">
              <a:solidFill>
                <a:sysClr val="windowText" lastClr="000000"/>
              </a:solidFill>
              <a:effectLst/>
              <a:latin typeface="Cambria" panose="02040503050406030204" pitchFamily="18" charset="0"/>
              <a:ea typeface="+mn-ea"/>
              <a:cs typeface="+mn-cs"/>
            </a:rPr>
            <a:t> ändra värden? </a:t>
          </a:r>
          <a:endParaRPr lang="sv-SE" sz="1100" b="1">
            <a:solidFill>
              <a:sysClr val="windowText" lastClr="000000"/>
            </a:solidFill>
            <a:effectLst/>
            <a:latin typeface="Cambria" panose="020405030504060302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Du</a:t>
          </a:r>
          <a:r>
            <a:rPr lang="sv-SE" sz="1100" b="0" baseline="0">
              <a:solidFill>
                <a:schemeClr val="tx1"/>
              </a:solidFill>
              <a:effectLst/>
              <a:latin typeface="Cambria" panose="02040503050406030204" pitchFamily="18" charset="0"/>
              <a:ea typeface="+mn-ea"/>
              <a:cs typeface="+mn-cs"/>
            </a:rPr>
            <a:t> får ändra alla värden och enheter i kalkylen utom de rutor som är gulmarkerade.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Automatiska</a:t>
          </a:r>
          <a:r>
            <a:rPr lang="sv-SE" sz="1100" b="1" baseline="0">
              <a:solidFill>
                <a:schemeClr val="tx1"/>
              </a:solidFill>
              <a:effectLst/>
              <a:latin typeface="Cambria" panose="02040503050406030204" pitchFamily="18" charset="0"/>
              <a:ea typeface="+mn-ea"/>
              <a:cs typeface="+mn-cs"/>
            </a:rPr>
            <a:t> beräkningar</a:t>
          </a:r>
          <a:endParaRPr lang="sv-SE" sz="1100">
            <a:effectLst/>
            <a:latin typeface="Cambria" panose="02040503050406030204" pitchFamily="18" charset="0"/>
          </a:endParaRPr>
        </a:p>
        <a:p>
          <a:r>
            <a:rPr lang="sv-SE" sz="1100" b="0">
              <a:solidFill>
                <a:schemeClr val="tx1"/>
              </a:solidFill>
              <a:effectLst/>
              <a:latin typeface="Cambria" panose="02040503050406030204" pitchFamily="18" charset="0"/>
              <a:ea typeface="+mn-ea"/>
              <a:cs typeface="+mn-cs"/>
            </a:rPr>
            <a:t>Celler</a:t>
          </a:r>
          <a:r>
            <a:rPr lang="sv-SE" sz="1100" b="0" baseline="0">
              <a:solidFill>
                <a:schemeClr val="tx1"/>
              </a:solidFill>
              <a:effectLst/>
              <a:latin typeface="Cambria" panose="02040503050406030204" pitchFamily="18" charset="0"/>
              <a:ea typeface="+mn-ea"/>
              <a:cs typeface="+mn-cs"/>
            </a:rPr>
            <a:t> som är markerade med ljusgrön bakgrund beräknas automatiskt.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Lägg</a:t>
          </a:r>
          <a:r>
            <a:rPr lang="sv-SE" sz="1100" b="1" baseline="0">
              <a:solidFill>
                <a:schemeClr val="tx1"/>
              </a:solidFill>
              <a:effectLst/>
              <a:latin typeface="Cambria" panose="02040503050406030204" pitchFamily="18" charset="0"/>
              <a:ea typeface="+mn-ea"/>
              <a:cs typeface="+mn-cs"/>
            </a:rPr>
            <a:t> till poster vid behov</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Om någon kalkylpost saknas går det bra att lägga till rader. Försök att använda befintliga rubriker. I undantagsfall kan du lägga till nya rubriker. Det går bra att dela upp en befintlig kalkylpost i flera poster.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Kontrollera att alla summeringar/formler blivit rätt om du lägger till rader.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Om en post inte är aktuell lämnar du raden tom. Ta inte bort raden. Skriv i not varför posten inte är aktuell. </a:t>
          </a: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Not</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Till varje kalkylpost ska du skriva en not. Noterna numreras löpande. Om du lägger till rader får du ändra numreringen på de rader som kommer efter. I noten förklarar du hur du har räknat fram beloppet och volymen. Noterna skriver du i en särskild bilaga som finns i rapportmallen.  </a:t>
          </a: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Grundförutsättningar</a:t>
          </a:r>
        </a:p>
        <a:p>
          <a:pPr eaLnBrk="1" fontAlgn="auto" latinLnBrk="0" hangingPunct="1"/>
          <a:r>
            <a:rPr lang="sv-SE" sz="1100" b="0">
              <a:solidFill>
                <a:schemeClr val="tx1"/>
              </a:solidFill>
              <a:effectLst/>
              <a:latin typeface="Cambria" panose="02040503050406030204" pitchFamily="18" charset="0"/>
              <a:ea typeface="+mn-ea"/>
              <a:cs typeface="+mn-cs"/>
            </a:rPr>
            <a:t>Antal djurplatser - </a:t>
          </a:r>
          <a:r>
            <a:rPr lang="sv-SE" sz="1100" b="0" baseline="0">
              <a:solidFill>
                <a:schemeClr val="tx1"/>
              </a:solidFill>
              <a:effectLst/>
              <a:latin typeface="Cambria" panose="02040503050406030204" pitchFamily="18" charset="0"/>
              <a:ea typeface="+mn-ea"/>
              <a:cs typeface="+mn-cs"/>
            </a:rPr>
            <a:t>Uppgiften hämtas från fliken "Investeringskalkyl". </a:t>
          </a:r>
        </a:p>
        <a:p>
          <a:pPr eaLnBrk="1" fontAlgn="auto" latinLnBrk="0" hangingPunct="1"/>
          <a:r>
            <a:rPr lang="sv-SE" sz="1100" b="0" baseline="0">
              <a:solidFill>
                <a:schemeClr val="tx1"/>
              </a:solidFill>
              <a:effectLst/>
              <a:latin typeface="Cambria" panose="02040503050406030204" pitchFamily="18" charset="0"/>
              <a:ea typeface="+mn-ea"/>
              <a:cs typeface="+mn-cs"/>
            </a:rPr>
            <a:t>Ange antal uppfödningsomgångar per år.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Belopp &amp; valuta</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Alla utgifter anges i svenska kronor (SEK) exklusive moms.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INTÄKTER</a:t>
          </a:r>
        </a:p>
        <a:p>
          <a:pPr eaLnBrk="1" fontAlgn="auto" latinLnBrk="0" hangingPunct="1"/>
          <a:r>
            <a:rPr lang="sv-SE" sz="1100" b="1" baseline="0">
              <a:solidFill>
                <a:schemeClr val="tx1"/>
              </a:solidFill>
              <a:effectLst/>
              <a:latin typeface="Cambria" panose="02040503050406030204" pitchFamily="18" charset="0"/>
              <a:ea typeface="+mn-ea"/>
              <a:cs typeface="+mn-cs"/>
            </a:rPr>
            <a:t>Stöd</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Du kan räkna med de stöd som kräver att de djur finns som stallet byggs för. Stöden beräknas till aktuell nivå för år 2017. (Detta är en förenkling i kalkylen, även om stödnivåerna förväntas förändras kommande år.)</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Gödsel </a:t>
          </a:r>
        </a:p>
        <a:p>
          <a:pPr eaLnBrk="1" fontAlgn="auto" latinLnBrk="0" hangingPunct="1"/>
          <a:r>
            <a:rPr lang="sv-SE" sz="1100" b="0" baseline="0">
              <a:solidFill>
                <a:schemeClr val="tx1"/>
              </a:solidFill>
              <a:effectLst/>
              <a:latin typeface="Cambria" panose="02040503050406030204" pitchFamily="18" charset="0"/>
              <a:ea typeface="+mn-ea"/>
              <a:cs typeface="+mn-cs"/>
            </a:rPr>
            <a:t>Ange nettovärdet efter kostnader för spridning. </a:t>
          </a:r>
          <a:endParaRPr lang="sv-SE" sz="1100" b="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KOSTNADER</a:t>
          </a: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Smågris</a:t>
          </a:r>
        </a:p>
        <a:p>
          <a:pPr marL="0" marR="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Inköpspriset</a:t>
          </a:r>
          <a:r>
            <a:rPr lang="sv-SE" sz="1100" b="0" baseline="0">
              <a:solidFill>
                <a:schemeClr val="tx1"/>
              </a:solidFill>
              <a:effectLst/>
              <a:latin typeface="Cambria" panose="02040503050406030204" pitchFamily="18" charset="0"/>
              <a:ea typeface="+mn-ea"/>
              <a:cs typeface="+mn-cs"/>
            </a:rPr>
            <a:t> ska vara minst 631 kr. Det är den nivå som krävs för att smågrisproducenten ska kunna producera en gris för 550 kr och ha täckning för administration</a:t>
          </a:r>
          <a:r>
            <a:rPr lang="sv-SE" sz="1100" b="0">
              <a:solidFill>
                <a:schemeClr val="tx1"/>
              </a:solidFill>
              <a:effectLst/>
              <a:latin typeface="Cambria" panose="02040503050406030204" pitchFamily="18" charset="0"/>
              <a:ea typeface="+mn-ea"/>
              <a:cs typeface="+mn-cs"/>
            </a:rPr>
            <a:t> och andra gemensamma kostnader för företaget samt vinst och skatt.</a:t>
          </a: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underhåll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Underhållet anges antingen som en procentsats av den totala investeringsutgiften per djurplats, eller som en summa per år och djurplats. Ange det uppskattade genomsnittliga underhållet per år under investeringens </a:t>
          </a:r>
          <a:r>
            <a:rPr lang="sv-SE" sz="1100" b="1" i="1" baseline="0">
              <a:solidFill>
                <a:schemeClr val="tx1"/>
              </a:solidFill>
              <a:effectLst/>
              <a:latin typeface="Cambria" panose="02040503050406030204" pitchFamily="18" charset="0"/>
              <a:ea typeface="+mn-ea"/>
              <a:cs typeface="+mn-cs"/>
            </a:rPr>
            <a:t>ekonomiska</a:t>
          </a:r>
          <a:r>
            <a:rPr lang="sv-SE" sz="1100" b="0" baseline="0">
              <a:solidFill>
                <a:schemeClr val="tx1"/>
              </a:solidFill>
              <a:effectLst/>
              <a:latin typeface="Cambria" panose="02040503050406030204" pitchFamily="18" charset="0"/>
              <a:ea typeface="+mn-ea"/>
              <a:cs typeface="+mn-cs"/>
            </a:rPr>
            <a:t> livslängd. Kom ihåg att räkna med underhåll och utbyte av utslitna byggnadsdelar och inventarier som sker vid enstaka tillfällen. </a:t>
          </a:r>
          <a:endParaRPr lang="sv-SE" sz="1100" b="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avskrivningar + ränta</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Denna post beräknas automatiskt när du har fyllt i fliken "Investeringskalkyl". Avskrivningar och ränta beräknas som en annuitet, det vill säga summan av avskrivningar och ränta är lika stor varje år under den ekonomiska livslängden (nominellt konstanta). Räntan är 5 % och räknas på hela investeringsbeloppet, oavsett hur investeringen finansieras. </a:t>
          </a: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Ränta</a:t>
          </a:r>
          <a:r>
            <a:rPr lang="sv-SE" sz="1100" b="1" baseline="0">
              <a:solidFill>
                <a:schemeClr val="tx1"/>
              </a:solidFill>
              <a:effectLst/>
              <a:latin typeface="Cambria" panose="02040503050406030204" pitchFamily="18" charset="0"/>
              <a:ea typeface="+mn-ea"/>
              <a:cs typeface="+mn-cs"/>
            </a:rPr>
            <a:t> rörelsekapital</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Bindningen av rörelsekapital räknas med en schablon på alla kostnadsposter i kalkylen (förutom de poster som är med i beräkningen av djurkapital). Schablonen innebär att kapitalbindningen sker successivt i jämn takt för alla kostnadser och att de i genomsnitt betalas i mitten av året. Intäkterna antas i genomsnitt betalas vid årets slut. Räntan är 5 %.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Arbete</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räkna med kostnad för försäkringar och utbildning av personal. </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även räkna med eget arbete. All arbetsid (inklusive eget arbete värderas till </a:t>
          </a:r>
          <a:r>
            <a:rPr lang="sv-SE" sz="1100" b="0" u="sng" baseline="0">
              <a:solidFill>
                <a:schemeClr val="tx1"/>
              </a:solidFill>
              <a:effectLst/>
              <a:latin typeface="Cambria" panose="02040503050406030204" pitchFamily="18" charset="0"/>
              <a:ea typeface="+mn-ea"/>
              <a:cs typeface="+mn-cs"/>
            </a:rPr>
            <a:t>minst</a:t>
          </a:r>
          <a:r>
            <a:rPr lang="sv-SE" sz="1100" b="0" baseline="0">
              <a:solidFill>
                <a:schemeClr val="tx1"/>
              </a:solidFill>
              <a:effectLst/>
              <a:latin typeface="Cambria" panose="02040503050406030204" pitchFamily="18" charset="0"/>
              <a:ea typeface="+mn-ea"/>
              <a:cs typeface="+mn-cs"/>
            </a:rPr>
            <a:t> 220 kr per timme).</a:t>
          </a:r>
          <a:endParaRPr lang="sv-SE">
            <a:effectLst/>
            <a:latin typeface="Cambria" panose="02040503050406030204" pitchFamily="18" charset="0"/>
          </a:endParaRP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endParaRPr lang="sv-SE">
            <a:effectLst/>
            <a:latin typeface="Cambria" panose="02040503050406030204" pitchFamily="18" charset="0"/>
          </a:endParaRPr>
        </a:p>
        <a:p>
          <a:pPr eaLnBrk="1" fontAlgn="auto" latinLnBrk="0" hangingPunct="1"/>
          <a:r>
            <a:rPr lang="sv-SE" sz="1100" b="1" baseline="0">
              <a:solidFill>
                <a:schemeClr val="tx1"/>
              </a:solidFill>
              <a:effectLst/>
              <a:latin typeface="Cambria" panose="02040503050406030204" pitchFamily="18" charset="0"/>
              <a:ea typeface="+mn-ea"/>
              <a:cs typeface="+mn-cs"/>
            </a:rPr>
            <a:t>Kontrollera beräkningarna!</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Kontrollera så att alla beräkningar och summeringar är rätt innan du färdigställer kalkylen. </a:t>
          </a:r>
          <a:endParaRPr lang="sv-SE">
            <a:effectLst/>
            <a:latin typeface="Cambria" panose="02040503050406030204" pitchFamily="18" charset="0"/>
          </a:endParaRPr>
        </a:p>
      </xdr:txBody>
    </xdr:sp>
    <xdr:clientData/>
  </xdr:oneCellAnchor>
  <xdr:oneCellAnchor>
    <xdr:from>
      <xdr:col>4</xdr:col>
      <xdr:colOff>259080</xdr:colOff>
      <xdr:row>8</xdr:row>
      <xdr:rowOff>68580</xdr:rowOff>
    </xdr:from>
    <xdr:ext cx="2381249" cy="1257300"/>
    <xdr:sp macro="" textlink="">
      <xdr:nvSpPr>
        <xdr:cNvPr id="3" name="textruta 2"/>
        <xdr:cNvSpPr txBox="1"/>
      </xdr:nvSpPr>
      <xdr:spPr>
        <a:xfrm>
          <a:off x="4770120" y="1676400"/>
          <a:ext cx="2381249" cy="1257300"/>
        </a:xfrm>
        <a:prstGeom prst="rect">
          <a:avLst/>
        </a:prstGeom>
        <a:solidFill>
          <a:srgbClr val="FFFF00"/>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Mer information</a:t>
          </a:r>
        </a:p>
        <a:p>
          <a:pPr eaLnBrk="1" fontAlgn="auto" latinLnBrk="0" hangingPunct="1"/>
          <a:endParaRPr lang="sv-SE" sz="900" b="1">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I rapporten som beskriver</a:t>
          </a:r>
          <a:r>
            <a:rPr lang="sv-SE" sz="1100" baseline="0">
              <a:solidFill>
                <a:schemeClr val="tx1"/>
              </a:solidFill>
              <a:effectLst/>
              <a:latin typeface="Cambria" panose="02040503050406030204" pitchFamily="18" charset="0"/>
              <a:ea typeface="+mn-ea"/>
              <a:cs typeface="+mn-cs"/>
            </a:rPr>
            <a:t> stallet finns noter till posterna i kalkylen. Där finns mer information om vad som ingår i varje post. </a:t>
          </a: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N17" sqref="N17"/>
    </sheetView>
  </sheetViews>
  <sheetFormatPr defaultRowHeight="14.4" x14ac:dyDescent="0.3"/>
  <sheetData>
    <row r="1" spans="1:1" ht="27.6" x14ac:dyDescent="0.45">
      <c r="A1" s="2" t="s">
        <v>37</v>
      </c>
    </row>
    <row r="2" spans="1:1" x14ac:dyDescent="0.3">
      <c r="A2"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79"/>
  <sheetViews>
    <sheetView workbookViewId="0">
      <selection activeCell="A13" sqref="A13:C28"/>
    </sheetView>
  </sheetViews>
  <sheetFormatPr defaultColWidth="9.109375" defaultRowHeight="13.8" x14ac:dyDescent="0.25"/>
  <cols>
    <col min="1" max="1" width="38.44140625" style="3" customWidth="1"/>
    <col min="2" max="2" width="16.5546875" style="3" bestFit="1" customWidth="1"/>
    <col min="3" max="3" width="12" style="3" customWidth="1"/>
    <col min="4" max="4" width="10.44140625" style="3" customWidth="1"/>
    <col min="5" max="5" width="16" style="3" bestFit="1" customWidth="1"/>
    <col min="6" max="6" width="18.109375" style="3" bestFit="1" customWidth="1"/>
    <col min="7" max="16384" width="9.109375" style="3"/>
  </cols>
  <sheetData>
    <row r="1" spans="1:7" ht="27.6" x14ac:dyDescent="0.45">
      <c r="A1" s="2" t="s">
        <v>85</v>
      </c>
    </row>
    <row r="2" spans="1:7" ht="17.399999999999999" x14ac:dyDescent="0.3">
      <c r="A2" s="29" t="s">
        <v>127</v>
      </c>
    </row>
    <row r="3" spans="1:7" ht="14.4" thickBot="1" x14ac:dyDescent="0.3">
      <c r="A3" s="4"/>
    </row>
    <row r="4" spans="1:7" x14ac:dyDescent="0.25">
      <c r="A4" s="5" t="s">
        <v>34</v>
      </c>
      <c r="B4" s="6"/>
      <c r="C4" s="7"/>
      <c r="D4" s="8"/>
      <c r="F4" s="9"/>
      <c r="G4" s="9"/>
    </row>
    <row r="5" spans="1:7" x14ac:dyDescent="0.25">
      <c r="A5" s="21" t="s">
        <v>36</v>
      </c>
      <c r="B5" s="22" t="s">
        <v>35</v>
      </c>
      <c r="C5" s="22"/>
      <c r="D5" s="23"/>
      <c r="F5" s="9"/>
      <c r="G5" s="9"/>
    </row>
    <row r="6" spans="1:7" x14ac:dyDescent="0.25">
      <c r="A6" s="30" t="s">
        <v>121</v>
      </c>
      <c r="B6" s="31" t="s">
        <v>124</v>
      </c>
      <c r="C6" s="32"/>
      <c r="D6" s="33"/>
      <c r="E6" s="9"/>
      <c r="F6" s="10"/>
      <c r="G6" s="9"/>
    </row>
    <row r="7" spans="1:7" x14ac:dyDescent="0.25">
      <c r="A7" s="30" t="s">
        <v>122</v>
      </c>
      <c r="B7" s="31" t="s">
        <v>123</v>
      </c>
      <c r="C7" s="32"/>
      <c r="D7" s="33"/>
      <c r="E7" s="9"/>
      <c r="F7" s="10"/>
      <c r="G7" s="9"/>
    </row>
    <row r="8" spans="1:7" x14ac:dyDescent="0.25">
      <c r="A8" s="30" t="s">
        <v>125</v>
      </c>
      <c r="B8" s="31" t="s">
        <v>126</v>
      </c>
      <c r="C8" s="32"/>
      <c r="D8" s="33"/>
      <c r="E8" s="9"/>
      <c r="F8" s="10"/>
      <c r="G8" s="9"/>
    </row>
    <row r="9" spans="1:7" x14ac:dyDescent="0.25">
      <c r="A9" s="30" t="s">
        <v>128</v>
      </c>
      <c r="B9" s="31" t="s">
        <v>129</v>
      </c>
      <c r="C9" s="32"/>
      <c r="D9" s="33"/>
      <c r="E9" s="9"/>
      <c r="F9" s="10"/>
      <c r="G9" s="9"/>
    </row>
    <row r="10" spans="1:7" ht="14.4" thickBot="1" x14ac:dyDescent="0.3">
      <c r="A10" s="34" t="s">
        <v>130</v>
      </c>
      <c r="B10" s="35" t="s">
        <v>131</v>
      </c>
      <c r="C10" s="35"/>
      <c r="D10" s="36"/>
      <c r="E10" s="11"/>
      <c r="F10" s="11"/>
      <c r="G10" s="11"/>
    </row>
    <row r="11" spans="1:7" x14ac:dyDescent="0.25">
      <c r="A11" s="4"/>
    </row>
    <row r="12" spans="1:7" ht="14.4" thickBot="1" x14ac:dyDescent="0.3">
      <c r="A12" s="15"/>
      <c r="B12" s="14"/>
      <c r="C12" s="15"/>
      <c r="D12" s="15"/>
    </row>
    <row r="13" spans="1:7" ht="17.399999999999999" x14ac:dyDescent="0.3">
      <c r="A13" s="142" t="s">
        <v>91</v>
      </c>
      <c r="B13" s="143" t="s">
        <v>86</v>
      </c>
      <c r="C13" s="144" t="s">
        <v>31</v>
      </c>
      <c r="D13" s="16"/>
    </row>
    <row r="14" spans="1:7" ht="18" x14ac:dyDescent="0.35">
      <c r="A14" s="145" t="s">
        <v>32</v>
      </c>
      <c r="B14" s="146">
        <v>4992</v>
      </c>
      <c r="C14" s="147" t="s">
        <v>38</v>
      </c>
      <c r="D14" s="9" t="s">
        <v>116</v>
      </c>
    </row>
    <row r="15" spans="1:7" ht="18" x14ac:dyDescent="0.35">
      <c r="A15" s="98" t="s">
        <v>87</v>
      </c>
      <c r="B15" s="148">
        <v>5930</v>
      </c>
      <c r="C15" s="149" t="s">
        <v>1</v>
      </c>
    </row>
    <row r="16" spans="1:7" ht="36.75" customHeight="1" x14ac:dyDescent="0.35">
      <c r="A16" s="150" t="s">
        <v>88</v>
      </c>
      <c r="B16" s="148">
        <v>483</v>
      </c>
      <c r="C16" s="149" t="s">
        <v>1</v>
      </c>
      <c r="D16" s="9"/>
    </row>
    <row r="17" spans="1:6" ht="18" x14ac:dyDescent="0.35">
      <c r="A17" s="151" t="s">
        <v>89</v>
      </c>
      <c r="B17" s="152"/>
      <c r="C17" s="153" t="s">
        <v>1</v>
      </c>
      <c r="D17" s="9"/>
    </row>
    <row r="18" spans="1:6" ht="18.600000000000001" thickBot="1" x14ac:dyDescent="0.4">
      <c r="A18" s="100" t="s">
        <v>0</v>
      </c>
      <c r="B18" s="154">
        <f>SUM(B15:B16)</f>
        <v>6413</v>
      </c>
      <c r="C18" s="155" t="s">
        <v>1</v>
      </c>
      <c r="D18" s="11"/>
      <c r="E18" s="11"/>
      <c r="F18" s="11"/>
    </row>
    <row r="19" spans="1:6" ht="17.399999999999999" x14ac:dyDescent="0.3">
      <c r="A19" s="142" t="s">
        <v>85</v>
      </c>
      <c r="B19" s="143" t="s">
        <v>86</v>
      </c>
      <c r="C19" s="144" t="s">
        <v>31</v>
      </c>
      <c r="D19" s="16"/>
    </row>
    <row r="20" spans="1:6" ht="36" x14ac:dyDescent="0.35">
      <c r="A20" s="145" t="s">
        <v>108</v>
      </c>
      <c r="B20" s="156">
        <f>Investeringskalkyl!F70</f>
        <v>27522268</v>
      </c>
      <c r="C20" s="157" t="s">
        <v>40</v>
      </c>
      <c r="D20" s="16"/>
    </row>
    <row r="21" spans="1:6" ht="18" x14ac:dyDescent="0.35">
      <c r="A21" s="145" t="s">
        <v>109</v>
      </c>
      <c r="B21" s="158">
        <f>IF(Investeringskalkyl!$C$14="suggor",#REF!)+IF(Investeringskalkyl!$C$14="slaktgrisar",'Driftkalkyl - Slaktgrisar'!$B$8)+IF(Investeringskalkyl!$C$14="tackor",#REF!)+IF(Investeringskalkyl!$C$14="dikor",#REF!)+IF(Investeringskalkyl!$C$14="slaktungnöt",#REF!)+IF(Investeringskalkyl!$C$14="mjölkkor",#REF!)</f>
        <v>1647806.9477422931</v>
      </c>
      <c r="C21" s="157" t="s">
        <v>69</v>
      </c>
      <c r="D21" s="16"/>
      <c r="E21" s="27"/>
      <c r="F21" s="28"/>
    </row>
    <row r="22" spans="1:6" ht="36" x14ac:dyDescent="0.35">
      <c r="A22" s="145" t="s">
        <v>110</v>
      </c>
      <c r="B22" s="158">
        <f>$B$21+(IF(Investeringskalkyl!$C$14="suggor",#REF!)+IF(Investeringskalkyl!$C$14="slaktgrisar",'Driftkalkyl - Slaktgrisar'!$G$44)+IF(Investeringskalkyl!$C$14="tackor",#REF!)+IF(Investeringskalkyl!$C$14="dikor",#REF!)+IF(Investeringskalkyl!$C$14="slaktungnöt",#REF!)+IF(Investeringskalkyl!$C$14="mjölkkor",#REF!))</f>
        <v>4299365.2070569955</v>
      </c>
      <c r="C22" s="157" t="s">
        <v>69</v>
      </c>
      <c r="D22" s="16"/>
    </row>
    <row r="23" spans="1:6" ht="36" x14ac:dyDescent="0.35">
      <c r="A23" s="145" t="s">
        <v>72</v>
      </c>
      <c r="B23" s="159">
        <v>0.05</v>
      </c>
      <c r="C23" s="157"/>
      <c r="D23" s="16"/>
    </row>
    <row r="24" spans="1:6" ht="18" x14ac:dyDescent="0.35">
      <c r="A24" s="145" t="s">
        <v>73</v>
      </c>
      <c r="B24" s="159">
        <v>0.01</v>
      </c>
      <c r="C24" s="157" t="s">
        <v>74</v>
      </c>
      <c r="D24" s="16"/>
    </row>
    <row r="25" spans="1:6" ht="18" x14ac:dyDescent="0.35">
      <c r="A25" s="145" t="s">
        <v>75</v>
      </c>
      <c r="B25" s="160">
        <f>(1+$B$23)/(1+$B$24)-1</f>
        <v>3.9603960396039639E-2</v>
      </c>
      <c r="C25" s="157"/>
      <c r="D25" s="16"/>
    </row>
    <row r="26" spans="1:6" ht="18" x14ac:dyDescent="0.35">
      <c r="A26" s="145" t="s">
        <v>67</v>
      </c>
      <c r="B26" s="161">
        <v>15</v>
      </c>
      <c r="C26" s="157" t="s">
        <v>68</v>
      </c>
      <c r="D26" s="16"/>
    </row>
    <row r="27" spans="1:6" ht="36" x14ac:dyDescent="0.35">
      <c r="A27" s="145" t="s">
        <v>118</v>
      </c>
      <c r="B27" s="162">
        <f>($B$22*((1-(1+$B$25)^(-$B$26))/$B$25))</f>
        <v>47934657.00631538</v>
      </c>
      <c r="C27" s="157" t="s">
        <v>69</v>
      </c>
      <c r="D27" s="16"/>
    </row>
    <row r="28" spans="1:6" ht="18.600000000000001" thickBot="1" x14ac:dyDescent="0.4">
      <c r="A28" s="163" t="s">
        <v>106</v>
      </c>
      <c r="B28" s="164">
        <f>-$B$20+($B$22*((1-(1+$B$25)^(-$B$26))/$B$25))</f>
        <v>20412389.00631538</v>
      </c>
      <c r="C28" s="165" t="s">
        <v>40</v>
      </c>
      <c r="D28" s="16"/>
    </row>
    <row r="29" spans="1:6" x14ac:dyDescent="0.25">
      <c r="A29" s="20"/>
      <c r="B29" s="26"/>
      <c r="C29" s="19"/>
      <c r="D29" s="16"/>
    </row>
    <row r="30" spans="1:6" ht="14.4" thickBot="1" x14ac:dyDescent="0.3">
      <c r="A30" s="20"/>
      <c r="B30" s="20"/>
      <c r="C30" s="19"/>
      <c r="D30" s="16"/>
    </row>
    <row r="31" spans="1:6" ht="18" x14ac:dyDescent="0.35">
      <c r="A31" s="86" t="s">
        <v>90</v>
      </c>
      <c r="B31" s="87"/>
      <c r="C31" s="87"/>
      <c r="D31" s="87"/>
      <c r="E31" s="87"/>
      <c r="F31" s="88"/>
    </row>
    <row r="32" spans="1:6" s="12" customFormat="1" ht="18" x14ac:dyDescent="0.35">
      <c r="A32" s="89" t="s">
        <v>2</v>
      </c>
      <c r="B32" s="90" t="s">
        <v>6</v>
      </c>
      <c r="C32" s="91" t="s">
        <v>5</v>
      </c>
      <c r="D32" s="91" t="s">
        <v>31</v>
      </c>
      <c r="E32" s="91" t="s">
        <v>4</v>
      </c>
      <c r="F32" s="92" t="s">
        <v>3</v>
      </c>
    </row>
    <row r="33" spans="1:6" ht="18" x14ac:dyDescent="0.35">
      <c r="A33" s="93" t="s">
        <v>7</v>
      </c>
      <c r="B33" s="94"/>
      <c r="C33" s="95"/>
      <c r="D33" s="95"/>
      <c r="E33" s="96"/>
      <c r="F33" s="97"/>
    </row>
    <row r="34" spans="1:6" ht="18" x14ac:dyDescent="0.35">
      <c r="A34" s="98" t="s">
        <v>24</v>
      </c>
      <c r="B34" s="94">
        <v>1</v>
      </c>
      <c r="C34" s="95">
        <v>6413</v>
      </c>
      <c r="D34" s="95" t="s">
        <v>1</v>
      </c>
      <c r="E34" s="96">
        <v>100</v>
      </c>
      <c r="F34" s="99">
        <f t="shared" ref="F34" si="0">C34*E34</f>
        <v>641300</v>
      </c>
    </row>
    <row r="35" spans="1:6" ht="18" x14ac:dyDescent="0.35">
      <c r="A35" s="98" t="s">
        <v>25</v>
      </c>
      <c r="B35" s="94"/>
      <c r="C35" s="95"/>
      <c r="D35" s="95"/>
      <c r="E35" s="96"/>
      <c r="F35" s="99"/>
    </row>
    <row r="36" spans="1:6" ht="18" x14ac:dyDescent="0.35">
      <c r="A36" s="100" t="s">
        <v>27</v>
      </c>
      <c r="B36" s="101"/>
      <c r="C36" s="102"/>
      <c r="D36" s="102"/>
      <c r="E36" s="103"/>
      <c r="F36" s="104">
        <f>SUM(F34:F35)</f>
        <v>641300</v>
      </c>
    </row>
    <row r="37" spans="1:6" ht="18" x14ac:dyDescent="0.35">
      <c r="A37" s="105" t="s">
        <v>8</v>
      </c>
      <c r="B37" s="106"/>
      <c r="C37" s="107"/>
      <c r="D37" s="107"/>
      <c r="E37" s="108"/>
      <c r="F37" s="97"/>
    </row>
    <row r="38" spans="1:6" ht="18" x14ac:dyDescent="0.35">
      <c r="A38" s="98" t="s">
        <v>9</v>
      </c>
      <c r="B38" s="94">
        <v>2</v>
      </c>
      <c r="C38" s="95">
        <v>6413</v>
      </c>
      <c r="D38" s="95"/>
      <c r="E38" s="96">
        <v>2657</v>
      </c>
      <c r="F38" s="99">
        <f>C38*E38</f>
        <v>17039341</v>
      </c>
    </row>
    <row r="39" spans="1:6" ht="18" x14ac:dyDescent="0.35">
      <c r="A39" s="98" t="s">
        <v>11</v>
      </c>
      <c r="B39" s="94"/>
      <c r="C39" s="95"/>
      <c r="D39" s="95"/>
      <c r="E39" s="96"/>
      <c r="F39" s="99"/>
    </row>
    <row r="40" spans="1:6" ht="18" x14ac:dyDescent="0.35">
      <c r="A40" s="98" t="s">
        <v>10</v>
      </c>
      <c r="B40" s="94"/>
      <c r="C40" s="95"/>
      <c r="D40" s="95"/>
      <c r="E40" s="96"/>
      <c r="F40" s="99"/>
    </row>
    <row r="41" spans="1:6" ht="18" x14ac:dyDescent="0.35">
      <c r="A41" s="98" t="s">
        <v>12</v>
      </c>
      <c r="B41" s="94"/>
      <c r="C41" s="95"/>
      <c r="D41" s="95"/>
      <c r="E41" s="96"/>
      <c r="F41" s="99"/>
    </row>
    <row r="42" spans="1:6" ht="18" x14ac:dyDescent="0.35">
      <c r="A42" s="100" t="s">
        <v>27</v>
      </c>
      <c r="B42" s="101"/>
      <c r="C42" s="102"/>
      <c r="D42" s="102"/>
      <c r="E42" s="103"/>
      <c r="F42" s="104">
        <f>SUM(F38:F41)</f>
        <v>17039341</v>
      </c>
    </row>
    <row r="43" spans="1:6" ht="18" x14ac:dyDescent="0.35">
      <c r="A43" s="105" t="s">
        <v>13</v>
      </c>
      <c r="B43" s="106"/>
      <c r="C43" s="107"/>
      <c r="D43" s="107"/>
      <c r="E43" s="108"/>
      <c r="F43" s="97"/>
    </row>
    <row r="44" spans="1:6" ht="18" x14ac:dyDescent="0.35">
      <c r="A44" s="98" t="s">
        <v>155</v>
      </c>
      <c r="B44" s="94">
        <v>3</v>
      </c>
      <c r="C44" s="95"/>
      <c r="D44" s="95"/>
      <c r="E44" s="96"/>
      <c r="F44" s="99">
        <v>27826</v>
      </c>
    </row>
    <row r="45" spans="1:6" ht="18" x14ac:dyDescent="0.35">
      <c r="A45" s="98" t="s">
        <v>14</v>
      </c>
      <c r="B45" s="94">
        <v>4</v>
      </c>
      <c r="C45" s="95"/>
      <c r="D45" s="95"/>
      <c r="E45" s="96"/>
      <c r="F45" s="99">
        <f>1240254-27826</f>
        <v>1212428</v>
      </c>
    </row>
    <row r="46" spans="1:6" ht="18" x14ac:dyDescent="0.35">
      <c r="A46" s="98" t="s">
        <v>15</v>
      </c>
      <c r="B46" s="94">
        <v>5</v>
      </c>
      <c r="C46" s="95"/>
      <c r="D46" s="95"/>
      <c r="E46" s="96"/>
      <c r="F46" s="99">
        <v>1626703</v>
      </c>
    </row>
    <row r="47" spans="1:6" ht="18" x14ac:dyDescent="0.35">
      <c r="A47" s="98" t="s">
        <v>16</v>
      </c>
      <c r="B47" s="94"/>
      <c r="C47" s="95"/>
      <c r="D47" s="95"/>
      <c r="E47" s="96"/>
      <c r="F47" s="99"/>
    </row>
    <row r="48" spans="1:6" ht="18" x14ac:dyDescent="0.35">
      <c r="A48" s="98" t="s">
        <v>17</v>
      </c>
      <c r="B48" s="94">
        <v>6</v>
      </c>
      <c r="C48" s="95"/>
      <c r="D48" s="95"/>
      <c r="E48" s="96"/>
      <c r="F48" s="99">
        <v>1220458</v>
      </c>
    </row>
    <row r="49" spans="1:6" ht="18" x14ac:dyDescent="0.35">
      <c r="A49" s="98" t="s">
        <v>18</v>
      </c>
      <c r="B49" s="94"/>
      <c r="C49" s="95"/>
      <c r="D49" s="95"/>
      <c r="E49" s="96"/>
      <c r="F49" s="99"/>
    </row>
    <row r="50" spans="1:6" ht="18" x14ac:dyDescent="0.35">
      <c r="A50" s="100" t="s">
        <v>28</v>
      </c>
      <c r="B50" s="101"/>
      <c r="C50" s="102"/>
      <c r="D50" s="102"/>
      <c r="E50" s="103"/>
      <c r="F50" s="104">
        <f>SUM(F44:F49)</f>
        <v>4087415</v>
      </c>
    </row>
    <row r="51" spans="1:6" ht="18" x14ac:dyDescent="0.35">
      <c r="A51" s="105" t="s">
        <v>26</v>
      </c>
      <c r="B51" s="106"/>
      <c r="C51" s="107"/>
      <c r="D51" s="107"/>
      <c r="E51" s="108"/>
      <c r="F51" s="97"/>
    </row>
    <row r="52" spans="1:6" ht="18" x14ac:dyDescent="0.35">
      <c r="A52" s="98"/>
      <c r="B52" s="94"/>
      <c r="C52" s="95"/>
      <c r="D52" s="95"/>
      <c r="E52" s="96"/>
      <c r="F52" s="99"/>
    </row>
    <row r="53" spans="1:6" ht="18" x14ac:dyDescent="0.35">
      <c r="A53" s="98" t="s">
        <v>150</v>
      </c>
      <c r="B53" s="94">
        <v>7</v>
      </c>
      <c r="C53" s="95"/>
      <c r="D53" s="95"/>
      <c r="E53" s="96"/>
      <c r="F53" s="99">
        <v>3824044</v>
      </c>
    </row>
    <row r="54" spans="1:6" ht="18" x14ac:dyDescent="0.35">
      <c r="A54" s="98"/>
      <c r="B54" s="94"/>
      <c r="C54" s="95"/>
      <c r="D54" s="95"/>
      <c r="E54" s="96"/>
      <c r="F54" s="99"/>
    </row>
    <row r="55" spans="1:6" ht="18" x14ac:dyDescent="0.35">
      <c r="A55" s="98"/>
      <c r="B55" s="94"/>
      <c r="C55" s="95"/>
      <c r="D55" s="95"/>
      <c r="E55" s="96"/>
      <c r="F55" s="99"/>
    </row>
    <row r="56" spans="1:6" ht="18" x14ac:dyDescent="0.35">
      <c r="A56" s="100" t="s">
        <v>29</v>
      </c>
      <c r="B56" s="101"/>
      <c r="C56" s="102"/>
      <c r="D56" s="102"/>
      <c r="E56" s="103"/>
      <c r="F56" s="104">
        <f>SUM(F52:F55)</f>
        <v>3824044</v>
      </c>
    </row>
    <row r="57" spans="1:6" ht="18" x14ac:dyDescent="0.35">
      <c r="A57" s="105" t="s">
        <v>153</v>
      </c>
      <c r="B57" s="106">
        <v>8</v>
      </c>
      <c r="C57" s="107"/>
      <c r="D57" s="107"/>
      <c r="E57" s="108"/>
      <c r="F57" s="109">
        <f>2200000</f>
        <v>2200000</v>
      </c>
    </row>
    <row r="58" spans="1:6" ht="18" x14ac:dyDescent="0.35">
      <c r="A58" s="98" t="s">
        <v>19</v>
      </c>
      <c r="B58" s="94"/>
      <c r="C58" s="95"/>
      <c r="D58" s="95"/>
      <c r="E58" s="96"/>
      <c r="F58" s="99"/>
    </row>
    <row r="59" spans="1:6" ht="18" x14ac:dyDescent="0.35">
      <c r="A59" s="98" t="s">
        <v>20</v>
      </c>
      <c r="B59" s="94"/>
      <c r="C59" s="95"/>
      <c r="D59" s="95"/>
      <c r="E59" s="96"/>
      <c r="F59" s="99"/>
    </row>
    <row r="60" spans="1:6" ht="18" x14ac:dyDescent="0.35">
      <c r="A60" s="98" t="s">
        <v>21</v>
      </c>
      <c r="B60" s="94">
        <v>9</v>
      </c>
      <c r="C60" s="95"/>
      <c r="D60" s="95"/>
      <c r="E60" s="96"/>
      <c r="F60" s="99">
        <v>150000</v>
      </c>
    </row>
    <row r="61" spans="1:6" ht="18" x14ac:dyDescent="0.35">
      <c r="A61" s="98" t="s">
        <v>152</v>
      </c>
      <c r="B61" s="94"/>
      <c r="C61" s="95"/>
      <c r="D61" s="95"/>
      <c r="E61" s="96"/>
      <c r="F61" s="99"/>
    </row>
    <row r="62" spans="1:6" ht="18" x14ac:dyDescent="0.35">
      <c r="A62" s="98" t="s">
        <v>22</v>
      </c>
      <c r="B62" s="94"/>
      <c r="C62" s="95"/>
      <c r="D62" s="95"/>
      <c r="E62" s="96"/>
      <c r="F62" s="99"/>
    </row>
    <row r="63" spans="1:6" ht="18" x14ac:dyDescent="0.35">
      <c r="A63" s="100" t="s">
        <v>30</v>
      </c>
      <c r="B63" s="101"/>
      <c r="C63" s="102"/>
      <c r="D63" s="102"/>
      <c r="E63" s="103"/>
      <c r="F63" s="104">
        <f>F57+150000</f>
        <v>2350000</v>
      </c>
    </row>
    <row r="64" spans="1:6" ht="18" x14ac:dyDescent="0.35">
      <c r="A64" s="105" t="s">
        <v>76</v>
      </c>
      <c r="B64" s="106"/>
      <c r="C64" s="107"/>
      <c r="D64" s="107"/>
      <c r="E64" s="108"/>
      <c r="F64" s="109"/>
    </row>
    <row r="65" spans="1:6" ht="18" x14ac:dyDescent="0.35">
      <c r="A65" s="98" t="s">
        <v>23</v>
      </c>
      <c r="B65" s="94">
        <v>10</v>
      </c>
      <c r="C65" s="95"/>
      <c r="D65" s="95"/>
      <c r="E65" s="96"/>
      <c r="F65" s="99">
        <v>456100</v>
      </c>
    </row>
    <row r="66" spans="1:6" ht="18" x14ac:dyDescent="0.35">
      <c r="A66" s="98" t="s">
        <v>78</v>
      </c>
      <c r="B66" s="94">
        <v>11</v>
      </c>
      <c r="C66" s="110">
        <f>$B$23</f>
        <v>0.05</v>
      </c>
      <c r="D66" s="95"/>
      <c r="E66" s="96"/>
      <c r="F66" s="99">
        <v>324068</v>
      </c>
    </row>
    <row r="67" spans="1:6" ht="18" x14ac:dyDescent="0.35">
      <c r="A67" s="100" t="s">
        <v>77</v>
      </c>
      <c r="B67" s="111"/>
      <c r="C67" s="112"/>
      <c r="D67" s="112"/>
      <c r="E67" s="113"/>
      <c r="F67" s="104">
        <f>SUM(F65:F66)</f>
        <v>780168</v>
      </c>
    </row>
    <row r="68" spans="1:6" ht="18" x14ac:dyDescent="0.35">
      <c r="A68" s="114" t="s">
        <v>119</v>
      </c>
      <c r="B68" s="115"/>
      <c r="C68" s="116"/>
      <c r="D68" s="116"/>
      <c r="E68" s="117"/>
      <c r="F68" s="118">
        <f>$F$36+$F$42+$F$50+$F$56+$F$63+$F$67</f>
        <v>28722268</v>
      </c>
    </row>
    <row r="69" spans="1:6" s="13" customFormat="1" ht="18" x14ac:dyDescent="0.35">
      <c r="A69" s="119" t="s">
        <v>62</v>
      </c>
      <c r="B69" s="120"/>
      <c r="C69" s="121"/>
      <c r="D69" s="121"/>
      <c r="E69" s="122"/>
      <c r="F69" s="123">
        <f>IF(($F$68*0.4)&lt;1200000,-$F$68*0.4,-1200000)</f>
        <v>-1200000</v>
      </c>
    </row>
    <row r="70" spans="1:6" s="9" customFormat="1" ht="18" x14ac:dyDescent="0.35">
      <c r="A70" s="124" t="s">
        <v>70</v>
      </c>
      <c r="B70" s="111"/>
      <c r="C70" s="125"/>
      <c r="D70" s="125"/>
      <c r="E70" s="126"/>
      <c r="F70" s="127">
        <f>$F$68+$F$69</f>
        <v>27522268</v>
      </c>
    </row>
    <row r="71" spans="1:6" s="9" customFormat="1" ht="18" x14ac:dyDescent="0.35">
      <c r="A71" s="128" t="s">
        <v>63</v>
      </c>
      <c r="B71" s="129"/>
      <c r="C71" s="130"/>
      <c r="D71" s="130"/>
      <c r="E71" s="131"/>
      <c r="F71" s="132">
        <f>$F$68/$B$14</f>
        <v>5753.6594551282051</v>
      </c>
    </row>
    <row r="72" spans="1:6" ht="18" x14ac:dyDescent="0.35">
      <c r="A72" s="128" t="s">
        <v>71</v>
      </c>
      <c r="B72" s="129"/>
      <c r="C72" s="130"/>
      <c r="D72" s="130"/>
      <c r="E72" s="131"/>
      <c r="F72" s="132">
        <f>($F$68+$F$69)/$B$14</f>
        <v>5513.2748397435898</v>
      </c>
    </row>
    <row r="73" spans="1:6" ht="18" x14ac:dyDescent="0.35">
      <c r="A73" s="133" t="s">
        <v>33</v>
      </c>
      <c r="B73" s="134"/>
      <c r="C73" s="135"/>
      <c r="D73" s="135"/>
      <c r="E73" s="136"/>
      <c r="F73" s="137"/>
    </row>
    <row r="74" spans="1:6" ht="18.600000000000001" thickBot="1" x14ac:dyDescent="0.4">
      <c r="A74" s="138" t="s">
        <v>120</v>
      </c>
      <c r="B74" s="139"/>
      <c r="C74" s="140"/>
      <c r="D74" s="140"/>
      <c r="E74" s="140"/>
      <c r="F74" s="141">
        <f>$F$68+$F$73</f>
        <v>28722268</v>
      </c>
    </row>
    <row r="77" spans="1:6" x14ac:dyDescent="0.25">
      <c r="E77" s="3">
        <f>27878200-1680000</f>
        <v>26198200</v>
      </c>
      <c r="F77" s="3">
        <f>E77-26198200</f>
        <v>0</v>
      </c>
    </row>
    <row r="79" spans="1:6" x14ac:dyDescent="0.25">
      <c r="A79" s="17"/>
      <c r="B79" s="18"/>
      <c r="C79" s="18"/>
      <c r="D79" s="16"/>
    </row>
  </sheetData>
  <dataValidations count="1">
    <dataValidation type="list" allowBlank="1" showInputMessage="1" showErrorMessage="1" promptTitle="Välj djurslag" sqref="C14">
      <formula1>Djurslag</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AZ68"/>
  <sheetViews>
    <sheetView tabSelected="1" topLeftCell="A10" workbookViewId="0">
      <selection activeCell="H32" sqref="H32"/>
    </sheetView>
  </sheetViews>
  <sheetFormatPr defaultColWidth="9.109375" defaultRowHeight="13.8" x14ac:dyDescent="0.25"/>
  <cols>
    <col min="1" max="1" width="30.6640625" style="52" customWidth="1"/>
    <col min="2" max="2" width="14.109375" style="52" customWidth="1"/>
    <col min="3" max="3" width="11.88671875" style="52" customWidth="1"/>
    <col min="4" max="4" width="9.109375" style="52" customWidth="1"/>
    <col min="5" max="5" width="15.33203125" style="52" customWidth="1"/>
    <col min="6" max="6" width="14.5546875" style="52" bestFit="1" customWidth="1"/>
    <col min="7" max="7" width="16.5546875" style="52" bestFit="1" customWidth="1"/>
    <col min="8" max="9" width="9.5546875" style="52" bestFit="1" customWidth="1"/>
    <col min="10" max="16384" width="9.109375" style="52"/>
  </cols>
  <sheetData>
    <row r="1" spans="1:37" ht="27.6" x14ac:dyDescent="0.45">
      <c r="A1" s="60" t="s">
        <v>95</v>
      </c>
    </row>
    <row r="2" spans="1:37" ht="14.4" thickBot="1" x14ac:dyDescent="0.3"/>
    <row r="3" spans="1:37" x14ac:dyDescent="0.25">
      <c r="A3" s="61" t="s">
        <v>54</v>
      </c>
      <c r="B3" s="62"/>
      <c r="C3" s="63"/>
    </row>
    <row r="4" spans="1:37" x14ac:dyDescent="0.25">
      <c r="A4" s="41" t="s">
        <v>32</v>
      </c>
      <c r="B4" s="64">
        <f>IF(Investeringskalkyl!$C$14="slaktgrisar",Investeringskalkyl!$B$14,0)</f>
        <v>4992</v>
      </c>
      <c r="C4" s="65" t="s">
        <v>38</v>
      </c>
      <c r="D4" s="66"/>
    </row>
    <row r="5" spans="1:37" ht="14.4" thickBot="1" x14ac:dyDescent="0.3">
      <c r="A5" s="67" t="s">
        <v>98</v>
      </c>
      <c r="B5" s="46">
        <v>3.71</v>
      </c>
      <c r="C5" s="68" t="s">
        <v>41</v>
      </c>
      <c r="D5" s="66"/>
    </row>
    <row r="6" spans="1:37" ht="14.4" thickBot="1" x14ac:dyDescent="0.3">
      <c r="A6" s="69"/>
      <c r="B6" s="70"/>
      <c r="C6" s="71"/>
      <c r="D6" s="66"/>
      <c r="E6" s="85">
        <f>B4*B5</f>
        <v>18520.32</v>
      </c>
    </row>
    <row r="7" spans="1:37" x14ac:dyDescent="0.25">
      <c r="A7" s="47" t="s">
        <v>59</v>
      </c>
      <c r="B7" s="48"/>
    </row>
    <row r="8" spans="1:37" ht="14.4" thickBot="1" x14ac:dyDescent="0.3">
      <c r="A8" s="40" t="s">
        <v>111</v>
      </c>
      <c r="B8" s="25">
        <f>$B$14*$B$4*$B$5</f>
        <v>1647806.9477422931</v>
      </c>
      <c r="E8" s="84">
        <f>Investeringskalkyl!F68/B8</f>
        <v>17.430602558966747</v>
      </c>
    </row>
    <row r="9" spans="1:37" x14ac:dyDescent="0.25">
      <c r="A9" s="41" t="s">
        <v>112</v>
      </c>
      <c r="B9" s="79">
        <f>$B$8/$G$22</f>
        <v>6.0748125720280141E-2</v>
      </c>
    </row>
    <row r="10" spans="1:37" ht="14.4" thickBot="1" x14ac:dyDescent="0.3">
      <c r="A10" s="42" t="s">
        <v>114</v>
      </c>
      <c r="B10" s="43">
        <f>$G$47+$G$48</f>
        <v>818110.47876923066</v>
      </c>
    </row>
    <row r="11" spans="1:37" x14ac:dyDescent="0.25">
      <c r="A11" s="215" t="s">
        <v>107</v>
      </c>
      <c r="B11" s="216"/>
    </row>
    <row r="12" spans="1:37" ht="18.75" customHeight="1" x14ac:dyDescent="0.25">
      <c r="A12" s="44" t="s">
        <v>82</v>
      </c>
      <c r="B12" s="24">
        <f>$F$22-$F$38</f>
        <v>311.13335200000006</v>
      </c>
    </row>
    <row r="13" spans="1:37" x14ac:dyDescent="0.25">
      <c r="A13" s="44" t="s">
        <v>83</v>
      </c>
      <c r="B13" s="24">
        <f>$F$22-$F$38-$F$43</f>
        <v>282.31680693563754</v>
      </c>
    </row>
    <row r="14" spans="1:37" ht="14.4" thickBot="1" x14ac:dyDescent="0.3">
      <c r="A14" s="40" t="s">
        <v>84</v>
      </c>
      <c r="B14" s="25">
        <f>$F$22-$F$38-$F43-$F$50</f>
        <v>88.972919892436693</v>
      </c>
    </row>
    <row r="15" spans="1:37" s="54" customFormat="1" ht="12.15" customHeight="1" x14ac:dyDescent="0.25">
      <c r="A15" s="38"/>
      <c r="B15" s="37"/>
      <c r="C15" s="49"/>
      <c r="D15" s="49"/>
      <c r="E15" s="50"/>
      <c r="F15" s="50"/>
      <c r="G15" s="51"/>
      <c r="H15" s="52"/>
      <c r="I15" s="52"/>
      <c r="J15" s="52"/>
      <c r="K15" s="53"/>
      <c r="M15" s="51"/>
      <c r="N15" s="51"/>
      <c r="O15" s="51"/>
      <c r="P15" s="51"/>
      <c r="Q15" s="51"/>
      <c r="R15" s="51"/>
      <c r="S15" s="51"/>
      <c r="T15" s="51"/>
      <c r="U15" s="51"/>
      <c r="V15" s="51"/>
      <c r="Y15" s="55"/>
      <c r="Z15" s="55"/>
      <c r="AA15" s="55"/>
      <c r="AB15" s="55"/>
      <c r="AC15" s="56"/>
      <c r="AD15" s="56"/>
      <c r="AE15" s="56"/>
      <c r="AF15" s="56"/>
      <c r="AG15" s="56"/>
      <c r="AH15" s="56"/>
      <c r="AI15" s="56"/>
      <c r="AJ15" s="56"/>
      <c r="AK15" s="56"/>
    </row>
    <row r="16" spans="1:37" s="54" customFormat="1" ht="12.15" customHeight="1" x14ac:dyDescent="0.25">
      <c r="A16" s="57"/>
      <c r="B16" s="58"/>
      <c r="C16" s="59"/>
      <c r="D16" s="59"/>
      <c r="E16" s="59"/>
      <c r="F16" s="59"/>
      <c r="G16" s="51"/>
      <c r="H16" s="52"/>
      <c r="I16" s="52"/>
      <c r="J16" s="52"/>
      <c r="K16" s="53"/>
      <c r="M16" s="51"/>
      <c r="N16" s="51"/>
      <c r="O16" s="51"/>
      <c r="P16" s="51"/>
      <c r="Q16" s="51"/>
      <c r="R16" s="51"/>
      <c r="S16" s="51"/>
      <c r="T16" s="51"/>
      <c r="U16" s="51"/>
      <c r="V16" s="51"/>
      <c r="Y16" s="55"/>
      <c r="Z16" s="55"/>
      <c r="AA16" s="55"/>
      <c r="AB16" s="55"/>
      <c r="AC16" s="56"/>
      <c r="AD16" s="56"/>
      <c r="AE16" s="56"/>
      <c r="AF16" s="56"/>
      <c r="AG16" s="56"/>
      <c r="AH16" s="56"/>
      <c r="AI16" s="56"/>
      <c r="AJ16" s="56"/>
      <c r="AK16" s="56"/>
    </row>
    <row r="17" spans="1:52" s="54" customFormat="1" ht="31.8" x14ac:dyDescent="0.35">
      <c r="A17" s="166" t="s">
        <v>92</v>
      </c>
      <c r="B17" s="167" t="s">
        <v>6</v>
      </c>
      <c r="C17" s="168" t="s">
        <v>96</v>
      </c>
      <c r="D17" s="168" t="s">
        <v>31</v>
      </c>
      <c r="E17" s="168" t="s">
        <v>57</v>
      </c>
      <c r="F17" s="168" t="s">
        <v>97</v>
      </c>
      <c r="G17" s="169" t="s">
        <v>100</v>
      </c>
      <c r="H17" s="52"/>
      <c r="I17" s="52"/>
      <c r="J17" s="52"/>
      <c r="K17" s="53"/>
      <c r="M17" s="51"/>
      <c r="N17" s="51"/>
      <c r="O17" s="51"/>
      <c r="P17" s="51"/>
      <c r="Q17" s="51"/>
      <c r="R17" s="51"/>
      <c r="S17" s="51"/>
      <c r="T17" s="51"/>
      <c r="U17" s="51"/>
      <c r="V17" s="51"/>
      <c r="Y17" s="55"/>
      <c r="Z17" s="55"/>
      <c r="AA17" s="55"/>
      <c r="AB17" s="55"/>
      <c r="AC17" s="56"/>
      <c r="AD17" s="56"/>
      <c r="AE17" s="56"/>
      <c r="AF17" s="56"/>
      <c r="AG17" s="56"/>
      <c r="AH17" s="56"/>
      <c r="AI17" s="56"/>
      <c r="AJ17" s="56"/>
      <c r="AK17" s="56"/>
    </row>
    <row r="18" spans="1:52" s="54" customFormat="1" ht="15.6" x14ac:dyDescent="0.3">
      <c r="A18" s="170" t="s">
        <v>99</v>
      </c>
      <c r="B18" s="171">
        <v>1</v>
      </c>
      <c r="C18" s="172">
        <v>90</v>
      </c>
      <c r="D18" s="173" t="s">
        <v>43</v>
      </c>
      <c r="E18" s="174">
        <v>16.13</v>
      </c>
      <c r="F18" s="175">
        <f>C18*E18</f>
        <v>1451.6999999999998</v>
      </c>
      <c r="G18" s="175">
        <f>F18*$B$4*$B$5</f>
        <v>26885948.543999996</v>
      </c>
      <c r="H18" s="52"/>
      <c r="I18" s="52"/>
      <c r="J18" s="52"/>
      <c r="K18" s="53"/>
      <c r="M18" s="51"/>
      <c r="N18" s="72"/>
      <c r="O18" s="51"/>
      <c r="P18" s="51"/>
      <c r="Q18" s="51"/>
      <c r="R18" s="51"/>
      <c r="S18" s="51"/>
      <c r="T18" s="51"/>
      <c r="U18" s="51"/>
      <c r="V18" s="51"/>
      <c r="Y18" s="55"/>
      <c r="Z18" s="55"/>
      <c r="AA18" s="55"/>
      <c r="AB18" s="55"/>
      <c r="AC18" s="56"/>
      <c r="AD18" s="56"/>
      <c r="AE18" s="56"/>
      <c r="AF18" s="56"/>
      <c r="AG18" s="56"/>
      <c r="AH18" s="56"/>
      <c r="AI18" s="56"/>
      <c r="AJ18" s="56"/>
      <c r="AK18" s="56"/>
    </row>
    <row r="19" spans="1:52" s="54" customFormat="1" ht="15.6" x14ac:dyDescent="0.3">
      <c r="A19" s="170" t="s">
        <v>42</v>
      </c>
      <c r="B19" s="171">
        <v>2</v>
      </c>
      <c r="C19" s="172"/>
      <c r="D19" s="176" t="s">
        <v>40</v>
      </c>
      <c r="E19" s="174">
        <v>0</v>
      </c>
      <c r="F19" s="175">
        <f t="shared" ref="F19:F20" si="0">C19*E19</f>
        <v>0</v>
      </c>
      <c r="G19" s="175">
        <f t="shared" ref="G19:G21" si="1">F19*$B$4*$B$5</f>
        <v>0</v>
      </c>
      <c r="H19" s="52"/>
      <c r="I19" s="52"/>
      <c r="J19" s="52"/>
      <c r="K19" s="53"/>
      <c r="M19" s="51"/>
      <c r="N19" s="72"/>
      <c r="O19" s="51"/>
      <c r="P19" s="51"/>
      <c r="Q19" s="51"/>
      <c r="R19" s="51"/>
      <c r="S19" s="51"/>
      <c r="T19" s="51"/>
      <c r="U19" s="51"/>
      <c r="V19" s="51"/>
      <c r="Y19" s="55"/>
      <c r="Z19" s="55"/>
      <c r="AA19" s="55"/>
      <c r="AB19" s="55"/>
      <c r="AC19" s="56"/>
      <c r="AD19" s="56"/>
      <c r="AE19" s="56"/>
      <c r="AF19" s="56"/>
      <c r="AG19" s="56"/>
      <c r="AH19" s="56"/>
      <c r="AI19" s="56"/>
      <c r="AJ19" s="56"/>
      <c r="AK19" s="56"/>
    </row>
    <row r="20" spans="1:52" s="54" customFormat="1" ht="15.6" x14ac:dyDescent="0.3">
      <c r="A20" s="170" t="s">
        <v>64</v>
      </c>
      <c r="B20" s="171">
        <v>3</v>
      </c>
      <c r="C20" s="172">
        <v>0.68</v>
      </c>
      <c r="D20" s="176" t="s">
        <v>156</v>
      </c>
      <c r="E20" s="174">
        <v>19</v>
      </c>
      <c r="F20" s="175">
        <f t="shared" si="0"/>
        <v>12.920000000000002</v>
      </c>
      <c r="G20" s="175">
        <f t="shared" si="1"/>
        <v>239282.53440000003</v>
      </c>
      <c r="H20" s="52"/>
      <c r="I20" s="52"/>
      <c r="J20" s="52"/>
      <c r="K20" s="53"/>
      <c r="M20" s="51"/>
      <c r="N20" s="72"/>
      <c r="O20" s="51"/>
      <c r="P20" s="51"/>
      <c r="Q20" s="51"/>
      <c r="R20" s="51"/>
      <c r="S20" s="51"/>
      <c r="T20" s="51"/>
      <c r="U20" s="51"/>
      <c r="V20" s="51"/>
      <c r="Y20" s="55"/>
      <c r="Z20" s="55"/>
      <c r="AA20" s="55"/>
      <c r="AB20" s="55"/>
      <c r="AC20" s="56"/>
      <c r="AD20" s="56"/>
      <c r="AE20" s="56"/>
      <c r="AF20" s="56"/>
      <c r="AG20" s="56"/>
      <c r="AH20" s="56"/>
      <c r="AI20" s="56"/>
      <c r="AJ20" s="56"/>
      <c r="AK20" s="56"/>
      <c r="AZ20" s="51"/>
    </row>
    <row r="21" spans="1:52" s="54" customFormat="1" ht="15.6" x14ac:dyDescent="0.3">
      <c r="A21" s="177"/>
      <c r="B21" s="171" t="s">
        <v>117</v>
      </c>
      <c r="C21" s="172"/>
      <c r="D21" s="176"/>
      <c r="E21" s="174"/>
      <c r="F21" s="175">
        <f t="shared" ref="F21" si="2">C21*E21</f>
        <v>0</v>
      </c>
      <c r="G21" s="175">
        <f t="shared" si="1"/>
        <v>0</v>
      </c>
      <c r="H21" s="52"/>
      <c r="I21" s="52"/>
      <c r="J21" s="52"/>
      <c r="K21" s="53"/>
      <c r="M21" s="51"/>
      <c r="N21" s="72"/>
      <c r="O21" s="51"/>
      <c r="P21" s="51"/>
      <c r="Q21" s="51"/>
      <c r="R21" s="51"/>
      <c r="S21" s="51"/>
      <c r="T21" s="51"/>
      <c r="U21" s="51"/>
      <c r="V21" s="51"/>
      <c r="Y21" s="55"/>
      <c r="Z21" s="55"/>
      <c r="AA21" s="55"/>
      <c r="AB21" s="55"/>
      <c r="AC21" s="56"/>
      <c r="AD21" s="56"/>
      <c r="AE21" s="56"/>
      <c r="AF21" s="56"/>
      <c r="AG21" s="56"/>
      <c r="AH21" s="56"/>
      <c r="AI21" s="56"/>
      <c r="AJ21" s="56"/>
      <c r="AK21" s="56"/>
      <c r="AZ21" s="51"/>
    </row>
    <row r="22" spans="1:52" s="54" customFormat="1" ht="16.2" x14ac:dyDescent="0.35">
      <c r="A22" s="178" t="s">
        <v>81</v>
      </c>
      <c r="B22" s="179"/>
      <c r="C22" s="180"/>
      <c r="D22" s="181"/>
      <c r="E22" s="182"/>
      <c r="F22" s="183">
        <f>SUM(F18:F21)</f>
        <v>1464.62</v>
      </c>
      <c r="G22" s="183">
        <f>SUM(G18:G21)</f>
        <v>27125231.078399997</v>
      </c>
      <c r="H22" s="52"/>
      <c r="I22" s="52"/>
      <c r="J22" s="52"/>
      <c r="K22" s="53"/>
      <c r="M22" s="51"/>
      <c r="N22" s="72"/>
      <c r="O22" s="51"/>
      <c r="P22" s="51"/>
      <c r="Q22" s="51"/>
      <c r="R22" s="51"/>
      <c r="S22" s="51"/>
      <c r="T22" s="51"/>
      <c r="U22" s="51"/>
      <c r="V22" s="51"/>
      <c r="Y22" s="55"/>
      <c r="Z22" s="55"/>
      <c r="AA22" s="55"/>
      <c r="AB22" s="55"/>
      <c r="AC22" s="56"/>
      <c r="AD22" s="56"/>
      <c r="AE22" s="56"/>
      <c r="AF22" s="56"/>
      <c r="AG22" s="56"/>
      <c r="AH22" s="56"/>
      <c r="AI22" s="56"/>
      <c r="AJ22" s="56"/>
      <c r="AK22" s="56"/>
      <c r="AZ22" s="51"/>
    </row>
    <row r="23" spans="1:52" s="54" customFormat="1" ht="16.2" x14ac:dyDescent="0.35">
      <c r="A23" s="184"/>
      <c r="B23" s="185"/>
      <c r="C23" s="186"/>
      <c r="D23" s="187"/>
      <c r="E23" s="188"/>
      <c r="F23" s="189"/>
      <c r="G23" s="190"/>
      <c r="H23" s="39"/>
      <c r="I23" s="53"/>
      <c r="J23" s="51"/>
      <c r="K23" s="51"/>
      <c r="L23" s="72"/>
      <c r="M23" s="51"/>
      <c r="N23" s="51"/>
      <c r="O23" s="51"/>
      <c r="P23" s="51"/>
      <c r="Q23" s="51"/>
      <c r="R23" s="51"/>
      <c r="S23" s="51"/>
      <c r="T23" s="51"/>
      <c r="W23" s="55"/>
      <c r="X23" s="55"/>
      <c r="Y23" s="55"/>
      <c r="Z23" s="55"/>
      <c r="AA23" s="56"/>
      <c r="AB23" s="56"/>
      <c r="AC23" s="56"/>
      <c r="AD23" s="56"/>
      <c r="AE23" s="56"/>
      <c r="AF23" s="56"/>
      <c r="AG23" s="56"/>
      <c r="AH23" s="56"/>
      <c r="AI23" s="56"/>
      <c r="AX23" s="51"/>
    </row>
    <row r="24" spans="1:52" s="54" customFormat="1" ht="31.8" x14ac:dyDescent="0.35">
      <c r="A24" s="166" t="s">
        <v>93</v>
      </c>
      <c r="B24" s="167" t="s">
        <v>6</v>
      </c>
      <c r="C24" s="168" t="s">
        <v>96</v>
      </c>
      <c r="D24" s="168" t="s">
        <v>31</v>
      </c>
      <c r="E24" s="168" t="s">
        <v>57</v>
      </c>
      <c r="F24" s="168" t="s">
        <v>97</v>
      </c>
      <c r="G24" s="169" t="s">
        <v>80</v>
      </c>
      <c r="H24" s="39"/>
      <c r="I24" s="53"/>
      <c r="J24" s="51"/>
      <c r="K24" s="51"/>
      <c r="L24" s="72"/>
      <c r="M24" s="51"/>
      <c r="N24" s="51"/>
      <c r="O24" s="51"/>
      <c r="P24" s="51"/>
      <c r="Q24" s="51"/>
      <c r="R24" s="51"/>
      <c r="S24" s="51"/>
      <c r="T24" s="51"/>
      <c r="W24" s="55"/>
      <c r="X24" s="55"/>
      <c r="Y24" s="55"/>
      <c r="Z24" s="55"/>
      <c r="AA24" s="56"/>
      <c r="AB24" s="56"/>
      <c r="AC24" s="56"/>
      <c r="AD24" s="56"/>
      <c r="AE24" s="56"/>
      <c r="AF24" s="56"/>
      <c r="AG24" s="56"/>
      <c r="AH24" s="56"/>
      <c r="AI24" s="56"/>
      <c r="AX24" s="51"/>
    </row>
    <row r="25" spans="1:52" s="54" customFormat="1" ht="15.6" x14ac:dyDescent="0.3">
      <c r="A25" s="177" t="s">
        <v>136</v>
      </c>
      <c r="B25" s="171">
        <v>4</v>
      </c>
      <c r="C25" s="191">
        <v>1</v>
      </c>
      <c r="D25" s="173" t="s">
        <v>41</v>
      </c>
      <c r="E25" s="174">
        <f>631</f>
        <v>631</v>
      </c>
      <c r="F25" s="175">
        <f>C25*E25</f>
        <v>631</v>
      </c>
      <c r="G25" s="175">
        <f>F25*$B$4*$B$5</f>
        <v>11686321.92</v>
      </c>
      <c r="H25" s="72"/>
      <c r="I25" s="53"/>
      <c r="J25" s="51"/>
      <c r="K25" s="51"/>
      <c r="L25" s="72"/>
      <c r="M25" s="51"/>
      <c r="N25" s="51"/>
      <c r="O25" s="51"/>
      <c r="P25" s="51"/>
      <c r="Q25" s="51"/>
      <c r="R25" s="51"/>
      <c r="S25" s="51"/>
      <c r="T25" s="51"/>
      <c r="W25" s="55"/>
      <c r="X25" s="55"/>
      <c r="Y25" s="55"/>
      <c r="Z25" s="55"/>
      <c r="AA25" s="56"/>
      <c r="AB25" s="56"/>
      <c r="AC25" s="56"/>
      <c r="AD25" s="56"/>
      <c r="AE25" s="56"/>
      <c r="AF25" s="56"/>
      <c r="AG25" s="56"/>
      <c r="AH25" s="56"/>
      <c r="AI25" s="56"/>
    </row>
    <row r="26" spans="1:52" s="54" customFormat="1" ht="15.6" x14ac:dyDescent="0.3">
      <c r="A26" s="177" t="s">
        <v>101</v>
      </c>
      <c r="B26" s="171">
        <v>5</v>
      </c>
      <c r="C26" s="191">
        <v>1</v>
      </c>
      <c r="D26" s="173" t="s">
        <v>41</v>
      </c>
      <c r="E26" s="174">
        <v>18</v>
      </c>
      <c r="F26" s="175">
        <f t="shared" ref="F26:F36" si="3">C26*E26</f>
        <v>18</v>
      </c>
      <c r="G26" s="175">
        <f t="shared" ref="G26:G51" si="4">F26*$B$4*$B$5</f>
        <v>333365.76000000001</v>
      </c>
      <c r="H26" s="72"/>
      <c r="I26" s="53"/>
      <c r="J26" s="51"/>
      <c r="K26" s="51"/>
      <c r="L26" s="72"/>
      <c r="M26" s="51"/>
      <c r="N26" s="51"/>
      <c r="O26" s="51"/>
      <c r="P26" s="51"/>
      <c r="Q26" s="51"/>
      <c r="R26" s="51"/>
      <c r="S26" s="51"/>
      <c r="T26" s="51"/>
      <c r="W26" s="55"/>
      <c r="X26" s="55"/>
      <c r="Y26" s="55"/>
      <c r="Z26" s="55"/>
      <c r="AA26" s="56"/>
      <c r="AB26" s="56"/>
      <c r="AC26" s="56"/>
      <c r="AD26" s="56"/>
      <c r="AE26" s="56"/>
      <c r="AF26" s="56"/>
      <c r="AG26" s="56"/>
      <c r="AH26" s="56"/>
      <c r="AI26" s="56"/>
    </row>
    <row r="27" spans="1:52" s="54" customFormat="1" ht="15.6" x14ac:dyDescent="0.3">
      <c r="A27" s="177" t="s">
        <v>142</v>
      </c>
      <c r="B27" s="171">
        <v>6</v>
      </c>
      <c r="C27" s="191">
        <f>257</f>
        <v>257</v>
      </c>
      <c r="D27" s="173" t="s">
        <v>43</v>
      </c>
      <c r="E27" s="174">
        <v>1.8</v>
      </c>
      <c r="F27" s="175">
        <f t="shared" si="3"/>
        <v>462.6</v>
      </c>
      <c r="G27" s="175">
        <f t="shared" si="4"/>
        <v>8567500.0320000015</v>
      </c>
      <c r="H27" s="72"/>
      <c r="I27" s="53"/>
      <c r="J27" s="51"/>
      <c r="K27" s="51"/>
      <c r="L27" s="72"/>
      <c r="M27" s="51"/>
      <c r="N27" s="51"/>
      <c r="O27" s="51"/>
      <c r="P27" s="51"/>
      <c r="Q27" s="51"/>
      <c r="R27" s="51"/>
      <c r="S27" s="51"/>
      <c r="T27" s="51"/>
      <c r="W27" s="55"/>
      <c r="X27" s="55"/>
      <c r="Y27" s="55"/>
      <c r="Z27" s="55"/>
      <c r="AA27" s="56"/>
      <c r="AB27" s="56"/>
      <c r="AC27" s="56"/>
      <c r="AD27" s="56"/>
      <c r="AE27" s="56"/>
      <c r="AF27" s="56"/>
      <c r="AG27" s="56"/>
      <c r="AH27" s="56"/>
      <c r="AI27" s="56"/>
    </row>
    <row r="28" spans="1:52" s="54" customFormat="1" ht="15.6" x14ac:dyDescent="0.3">
      <c r="A28" s="177" t="s">
        <v>143</v>
      </c>
      <c r="B28" s="171">
        <v>7</v>
      </c>
      <c r="C28" s="191"/>
      <c r="D28" s="173" t="s">
        <v>43</v>
      </c>
      <c r="E28" s="174"/>
      <c r="F28" s="175"/>
      <c r="G28" s="175"/>
      <c r="H28" s="72"/>
      <c r="I28" s="53"/>
      <c r="J28" s="51"/>
      <c r="K28" s="51"/>
      <c r="L28" s="72"/>
      <c r="M28" s="51"/>
      <c r="N28" s="51"/>
      <c r="O28" s="51"/>
      <c r="P28" s="51"/>
      <c r="Q28" s="51"/>
      <c r="R28" s="51"/>
      <c r="S28" s="51"/>
      <c r="T28" s="51"/>
      <c r="W28" s="55"/>
      <c r="X28" s="55"/>
      <c r="Y28" s="55"/>
      <c r="Z28" s="55"/>
      <c r="AA28" s="56"/>
      <c r="AB28" s="56"/>
      <c r="AC28" s="56"/>
      <c r="AD28" s="56"/>
      <c r="AE28" s="56"/>
      <c r="AF28" s="56"/>
      <c r="AG28" s="56"/>
      <c r="AH28" s="56"/>
      <c r="AI28" s="56"/>
    </row>
    <row r="29" spans="1:52" s="54" customFormat="1" ht="15.6" x14ac:dyDescent="0.3">
      <c r="A29" s="177" t="s">
        <v>102</v>
      </c>
      <c r="B29" s="171">
        <v>8</v>
      </c>
      <c r="C29" s="191">
        <v>1</v>
      </c>
      <c r="D29" s="173" t="s">
        <v>40</v>
      </c>
      <c r="E29" s="174">
        <v>5.5</v>
      </c>
      <c r="F29" s="175">
        <f t="shared" si="3"/>
        <v>5.5</v>
      </c>
      <c r="G29" s="175">
        <f t="shared" si="4"/>
        <v>101861.75999999999</v>
      </c>
      <c r="H29" s="72"/>
      <c r="I29" s="53"/>
      <c r="J29" s="51"/>
      <c r="K29" s="51"/>
      <c r="L29" s="72"/>
      <c r="M29" s="51"/>
      <c r="N29" s="51"/>
      <c r="O29" s="51"/>
      <c r="P29" s="51"/>
      <c r="Q29" s="51"/>
      <c r="R29" s="51"/>
      <c r="S29" s="51"/>
      <c r="T29" s="51"/>
      <c r="W29" s="55"/>
      <c r="X29" s="55"/>
      <c r="Y29" s="55"/>
      <c r="Z29" s="55"/>
      <c r="AA29" s="56"/>
      <c r="AB29" s="56"/>
      <c r="AC29" s="56"/>
      <c r="AD29" s="56"/>
      <c r="AE29" s="56"/>
      <c r="AF29" s="56"/>
      <c r="AG29" s="56"/>
      <c r="AH29" s="56"/>
      <c r="AI29" s="56"/>
    </row>
    <row r="30" spans="1:52" s="54" customFormat="1" ht="31.2" x14ac:dyDescent="0.3">
      <c r="A30" s="177" t="s">
        <v>103</v>
      </c>
      <c r="B30" s="171">
        <v>9</v>
      </c>
      <c r="C30" s="191">
        <f>Blad1!E10</f>
        <v>1.08</v>
      </c>
      <c r="D30" s="173" t="s">
        <v>43</v>
      </c>
      <c r="E30" s="174">
        <f>((E25+(E25*0.05))*0.012)</f>
        <v>7.9505999999999997</v>
      </c>
      <c r="F30" s="175">
        <f t="shared" si="3"/>
        <v>8.5866480000000003</v>
      </c>
      <c r="G30" s="175">
        <f t="shared" si="4"/>
        <v>159027.46868736</v>
      </c>
      <c r="H30" s="72"/>
      <c r="I30" s="53"/>
      <c r="J30" s="51"/>
      <c r="K30" s="51"/>
      <c r="L30" s="72"/>
      <c r="M30" s="51"/>
      <c r="N30" s="51"/>
      <c r="O30" s="51"/>
      <c r="P30" s="51"/>
      <c r="Q30" s="51"/>
      <c r="R30" s="51"/>
      <c r="S30" s="51"/>
      <c r="T30" s="51"/>
      <c r="W30" s="55"/>
      <c r="X30" s="55"/>
      <c r="Y30" s="55"/>
      <c r="Z30" s="55"/>
      <c r="AA30" s="56"/>
      <c r="AB30" s="56"/>
      <c r="AC30" s="56"/>
      <c r="AD30" s="56"/>
      <c r="AE30" s="56"/>
      <c r="AF30" s="56"/>
      <c r="AG30" s="56"/>
      <c r="AH30" s="56"/>
      <c r="AI30" s="56"/>
    </row>
    <row r="31" spans="1:52" s="54" customFormat="1" ht="15.6" x14ac:dyDescent="0.3">
      <c r="A31" s="177" t="s">
        <v>44</v>
      </c>
      <c r="B31" s="171">
        <v>10</v>
      </c>
      <c r="C31" s="191">
        <v>7</v>
      </c>
      <c r="D31" s="173" t="s">
        <v>43</v>
      </c>
      <c r="E31" s="174">
        <v>0.45</v>
      </c>
      <c r="F31" s="175">
        <f t="shared" si="3"/>
        <v>3.15</v>
      </c>
      <c r="G31" s="175">
        <f t="shared" si="4"/>
        <v>58339.007999999994</v>
      </c>
      <c r="H31" s="72"/>
      <c r="I31" s="53"/>
      <c r="J31" s="51"/>
      <c r="K31" s="51"/>
      <c r="L31" s="72"/>
      <c r="M31" s="51"/>
      <c r="N31" s="51"/>
      <c r="O31" s="51"/>
      <c r="P31" s="51"/>
      <c r="Q31" s="51"/>
      <c r="R31" s="51"/>
      <c r="S31" s="51"/>
      <c r="T31" s="51"/>
      <c r="W31" s="55"/>
      <c r="X31" s="55"/>
      <c r="Y31" s="55"/>
      <c r="Z31" s="55"/>
      <c r="AA31" s="56"/>
      <c r="AB31" s="56"/>
      <c r="AC31" s="56"/>
      <c r="AD31" s="56"/>
      <c r="AE31" s="56"/>
      <c r="AF31" s="56"/>
      <c r="AG31" s="56"/>
      <c r="AH31" s="56"/>
      <c r="AI31" s="56"/>
    </row>
    <row r="32" spans="1:52" s="54" customFormat="1" ht="15.6" x14ac:dyDescent="0.3">
      <c r="A32" s="177" t="s">
        <v>45</v>
      </c>
      <c r="B32" s="171">
        <v>11</v>
      </c>
      <c r="C32" s="191">
        <v>15</v>
      </c>
      <c r="D32" s="173" t="s">
        <v>46</v>
      </c>
      <c r="E32" s="174">
        <v>0.63</v>
      </c>
      <c r="F32" s="175">
        <f t="shared" si="3"/>
        <v>9.4499999999999993</v>
      </c>
      <c r="G32" s="175">
        <f t="shared" si="4"/>
        <v>175017.02399999998</v>
      </c>
      <c r="H32" s="72"/>
      <c r="I32" s="53"/>
      <c r="J32" s="51"/>
      <c r="K32" s="51"/>
      <c r="L32" s="72"/>
      <c r="M32" s="51"/>
      <c r="N32" s="51"/>
      <c r="O32" s="51"/>
      <c r="P32" s="51"/>
      <c r="Q32" s="51"/>
      <c r="R32" s="51"/>
      <c r="S32" s="51"/>
      <c r="T32" s="51"/>
      <c r="W32" s="55"/>
      <c r="X32" s="55"/>
      <c r="Y32" s="55"/>
      <c r="Z32" s="55"/>
      <c r="AA32" s="56"/>
      <c r="AB32" s="56"/>
      <c r="AC32" s="56"/>
      <c r="AD32" s="56"/>
      <c r="AE32" s="56"/>
      <c r="AF32" s="56"/>
      <c r="AG32" s="56"/>
      <c r="AH32" s="56"/>
      <c r="AI32" s="56"/>
    </row>
    <row r="33" spans="1:36" s="54" customFormat="1" ht="15.6" x14ac:dyDescent="0.3">
      <c r="A33" s="177" t="s">
        <v>104</v>
      </c>
      <c r="B33" s="171">
        <v>12</v>
      </c>
      <c r="C33" s="191">
        <v>1</v>
      </c>
      <c r="D33" s="173" t="s">
        <v>40</v>
      </c>
      <c r="E33" s="174">
        <v>6</v>
      </c>
      <c r="F33" s="175">
        <f>C33*E33</f>
        <v>6</v>
      </c>
      <c r="G33" s="175">
        <f>F33*$B$4*$B$5</f>
        <v>111121.92</v>
      </c>
      <c r="H33" s="72"/>
      <c r="I33" s="53"/>
      <c r="J33" s="51"/>
      <c r="K33" s="51"/>
      <c r="L33" s="72"/>
      <c r="M33" s="51"/>
      <c r="N33" s="51"/>
      <c r="O33" s="51"/>
      <c r="P33" s="51"/>
      <c r="Q33" s="51"/>
      <c r="R33" s="51"/>
      <c r="S33" s="51"/>
      <c r="T33" s="51"/>
      <c r="W33" s="55"/>
      <c r="X33" s="55"/>
      <c r="Y33" s="55"/>
      <c r="Z33" s="55"/>
      <c r="AA33" s="56"/>
      <c r="AB33" s="56"/>
      <c r="AC33" s="56"/>
      <c r="AD33" s="56"/>
      <c r="AE33" s="56"/>
      <c r="AF33" s="56"/>
      <c r="AG33" s="56"/>
      <c r="AH33" s="56"/>
      <c r="AI33" s="56"/>
    </row>
    <row r="34" spans="1:36" s="54" customFormat="1" ht="15.6" x14ac:dyDescent="0.3">
      <c r="A34" s="177" t="s">
        <v>47</v>
      </c>
      <c r="B34" s="171">
        <v>13</v>
      </c>
      <c r="C34" s="191">
        <v>1</v>
      </c>
      <c r="D34" s="173" t="s">
        <v>40</v>
      </c>
      <c r="E34" s="174">
        <v>1.1000000000000001</v>
      </c>
      <c r="F34" s="175">
        <f>C34*E34</f>
        <v>1.1000000000000001</v>
      </c>
      <c r="G34" s="175">
        <f>F34*$B$4*$B$5</f>
        <v>20372.352000000003</v>
      </c>
      <c r="H34" s="72"/>
      <c r="I34" s="53"/>
      <c r="J34" s="51"/>
      <c r="K34" s="51"/>
      <c r="L34" s="72"/>
      <c r="M34" s="51"/>
      <c r="N34" s="51"/>
      <c r="O34" s="51"/>
      <c r="P34" s="51"/>
      <c r="Q34" s="51"/>
      <c r="R34" s="51"/>
      <c r="S34" s="51"/>
      <c r="T34" s="51"/>
      <c r="W34" s="55"/>
      <c r="X34" s="55"/>
      <c r="Y34" s="55"/>
      <c r="Z34" s="55"/>
      <c r="AA34" s="56"/>
      <c r="AB34" s="56"/>
      <c r="AC34" s="56"/>
      <c r="AD34" s="56"/>
      <c r="AE34" s="56"/>
      <c r="AF34" s="56"/>
      <c r="AG34" s="56"/>
      <c r="AH34" s="56"/>
      <c r="AI34" s="56"/>
    </row>
    <row r="35" spans="1:36" s="54" customFormat="1" ht="31.2" x14ac:dyDescent="0.3">
      <c r="A35" s="177" t="s">
        <v>79</v>
      </c>
      <c r="B35" s="171">
        <v>14</v>
      </c>
      <c r="C35" s="191">
        <v>1</v>
      </c>
      <c r="D35" s="173" t="s">
        <v>40</v>
      </c>
      <c r="E35" s="174">
        <v>1.1000000000000001</v>
      </c>
      <c r="F35" s="175">
        <f t="shared" si="3"/>
        <v>1.1000000000000001</v>
      </c>
      <c r="G35" s="175">
        <f t="shared" si="4"/>
        <v>20372.352000000003</v>
      </c>
      <c r="H35" s="72"/>
      <c r="I35" s="53"/>
      <c r="J35" s="51"/>
      <c r="K35" s="51"/>
      <c r="L35" s="72"/>
      <c r="M35" s="51"/>
      <c r="N35" s="51"/>
      <c r="O35" s="51"/>
      <c r="P35" s="51"/>
      <c r="Q35" s="51"/>
      <c r="R35" s="51"/>
      <c r="S35" s="51"/>
      <c r="T35" s="51"/>
      <c r="W35" s="55"/>
      <c r="X35" s="55"/>
      <c r="Y35" s="55"/>
      <c r="Z35" s="55"/>
      <c r="AA35" s="56"/>
      <c r="AB35" s="56"/>
      <c r="AC35" s="56"/>
      <c r="AD35" s="56"/>
      <c r="AE35" s="56"/>
      <c r="AF35" s="56"/>
      <c r="AG35" s="56"/>
      <c r="AH35" s="56"/>
      <c r="AI35" s="56"/>
    </row>
    <row r="36" spans="1:36" s="54" customFormat="1" ht="15.6" x14ac:dyDescent="0.3">
      <c r="A36" s="177" t="s">
        <v>115</v>
      </c>
      <c r="B36" s="171">
        <v>15</v>
      </c>
      <c r="C36" s="191">
        <v>1</v>
      </c>
      <c r="D36" s="173" t="s">
        <v>40</v>
      </c>
      <c r="E36" s="174">
        <v>7</v>
      </c>
      <c r="F36" s="175">
        <f t="shared" si="3"/>
        <v>7</v>
      </c>
      <c r="G36" s="175">
        <f t="shared" si="4"/>
        <v>129642.24000000001</v>
      </c>
      <c r="H36" s="72"/>
      <c r="I36" s="53"/>
      <c r="J36" s="51"/>
      <c r="K36" s="51"/>
      <c r="L36" s="72"/>
      <c r="M36" s="51"/>
      <c r="N36" s="51"/>
      <c r="O36" s="51"/>
      <c r="P36" s="51"/>
      <c r="Q36" s="51"/>
      <c r="R36" s="51"/>
      <c r="S36" s="51"/>
      <c r="T36" s="51"/>
      <c r="W36" s="55"/>
      <c r="X36" s="55"/>
      <c r="Y36" s="55"/>
      <c r="Z36" s="55"/>
      <c r="AA36" s="56"/>
      <c r="AB36" s="56"/>
      <c r="AC36" s="56"/>
      <c r="AD36" s="56"/>
      <c r="AE36" s="56"/>
      <c r="AF36" s="56"/>
      <c r="AG36" s="56"/>
      <c r="AH36" s="56"/>
      <c r="AI36" s="56"/>
    </row>
    <row r="37" spans="1:36" s="54" customFormat="1" ht="15.6" x14ac:dyDescent="0.3">
      <c r="A37" s="177" t="s">
        <v>58</v>
      </c>
      <c r="B37" s="171">
        <v>16</v>
      </c>
      <c r="C37" s="191"/>
      <c r="D37" s="173" t="s">
        <v>40</v>
      </c>
      <c r="E37" s="174"/>
      <c r="F37" s="175"/>
      <c r="G37" s="175"/>
      <c r="H37" s="72"/>
      <c r="I37" s="53"/>
      <c r="J37" s="51"/>
      <c r="K37" s="51"/>
      <c r="L37" s="72"/>
      <c r="M37" s="51"/>
      <c r="N37" s="51"/>
      <c r="O37" s="51"/>
      <c r="P37" s="51"/>
      <c r="Q37" s="51"/>
      <c r="R37" s="51"/>
      <c r="S37" s="51"/>
      <c r="T37" s="51"/>
      <c r="W37" s="55"/>
      <c r="X37" s="55"/>
      <c r="Y37" s="55"/>
      <c r="Z37" s="55"/>
      <c r="AA37" s="56"/>
      <c r="AB37" s="56"/>
      <c r="AC37" s="56"/>
      <c r="AD37" s="56"/>
      <c r="AE37" s="56"/>
      <c r="AF37" s="56"/>
      <c r="AG37" s="56"/>
      <c r="AH37" s="56"/>
      <c r="AI37" s="56"/>
    </row>
    <row r="38" spans="1:36" s="54" customFormat="1" ht="16.2" x14ac:dyDescent="0.35">
      <c r="A38" s="192"/>
      <c r="B38" s="193" t="s">
        <v>48</v>
      </c>
      <c r="C38" s="194"/>
      <c r="D38" s="193"/>
      <c r="E38" s="195"/>
      <c r="F38" s="183">
        <f>SUM(F25:F37)</f>
        <v>1153.4866479999998</v>
      </c>
      <c r="G38" s="196">
        <f>F38*$B$4*$B$5</f>
        <v>21362941.83668736</v>
      </c>
      <c r="H38" s="72"/>
      <c r="I38" s="53"/>
      <c r="J38" s="51"/>
      <c r="K38" s="51"/>
      <c r="L38" s="72"/>
      <c r="M38" s="51"/>
      <c r="N38" s="51"/>
      <c r="O38" s="51"/>
      <c r="P38" s="51"/>
      <c r="Q38" s="51"/>
      <c r="R38" s="51"/>
      <c r="S38" s="51"/>
      <c r="T38" s="51"/>
      <c r="W38" s="55"/>
      <c r="X38" s="55"/>
      <c r="Y38" s="55"/>
      <c r="Z38" s="55"/>
      <c r="AA38" s="56"/>
      <c r="AB38" s="56"/>
      <c r="AC38" s="56"/>
      <c r="AD38" s="56"/>
      <c r="AE38" s="56"/>
      <c r="AF38" s="56"/>
      <c r="AG38" s="56"/>
      <c r="AH38" s="56"/>
      <c r="AI38" s="56"/>
    </row>
    <row r="39" spans="1:36" s="54" customFormat="1" ht="15.6" x14ac:dyDescent="0.3">
      <c r="A39" s="170" t="s">
        <v>113</v>
      </c>
      <c r="B39" s="185"/>
      <c r="C39" s="197">
        <v>0.4</v>
      </c>
      <c r="D39" s="198" t="s">
        <v>56</v>
      </c>
      <c r="E39" s="199">
        <f>Investeringskalkyl!$F$71/B5</f>
        <v>1550.8516051558504</v>
      </c>
      <c r="F39" s="175">
        <f>C39/100*E39</f>
        <v>6.2034064206234021</v>
      </c>
      <c r="G39" s="175">
        <f t="shared" si="4"/>
        <v>114889.07200000001</v>
      </c>
      <c r="H39" s="72"/>
      <c r="I39" s="53"/>
      <c r="J39" s="51"/>
      <c r="K39" s="51"/>
      <c r="L39" s="72"/>
      <c r="M39" s="51"/>
      <c r="N39" s="51"/>
      <c r="O39" s="51"/>
      <c r="P39" s="51"/>
      <c r="Q39" s="51"/>
      <c r="R39" s="51"/>
      <c r="S39" s="51"/>
      <c r="T39" s="51"/>
      <c r="W39" s="55"/>
      <c r="X39" s="55"/>
      <c r="Y39" s="55"/>
      <c r="Z39" s="55"/>
      <c r="AA39" s="56"/>
      <c r="AB39" s="56"/>
      <c r="AC39" s="56"/>
      <c r="AD39" s="56"/>
      <c r="AE39" s="56"/>
      <c r="AF39" s="56"/>
      <c r="AG39" s="56"/>
      <c r="AH39" s="56"/>
      <c r="AI39" s="56"/>
    </row>
    <row r="40" spans="1:36" s="54" customFormat="1" ht="15.6" x14ac:dyDescent="0.3">
      <c r="A40" s="170" t="s">
        <v>49</v>
      </c>
      <c r="B40" s="200" t="s">
        <v>65</v>
      </c>
      <c r="C40" s="201">
        <f>($E$25+$E$26)/$B$5</f>
        <v>174.93261455525607</v>
      </c>
      <c r="D40" s="198" t="s">
        <v>40</v>
      </c>
      <c r="E40" s="202">
        <v>0.05</v>
      </c>
      <c r="F40" s="175">
        <f t="shared" ref="F40:F41" si="5">C40*E40</f>
        <v>8.7466307277628044</v>
      </c>
      <c r="G40" s="175">
        <f t="shared" si="4"/>
        <v>161990.40000000002</v>
      </c>
      <c r="H40" s="72"/>
      <c r="I40" s="53"/>
      <c r="J40" s="51"/>
      <c r="K40" s="51"/>
      <c r="L40" s="72"/>
      <c r="M40" s="51"/>
      <c r="N40" s="51"/>
      <c r="O40" s="51"/>
      <c r="P40" s="51"/>
      <c r="Q40" s="51"/>
      <c r="R40" s="51"/>
      <c r="S40" s="51"/>
      <c r="T40" s="51"/>
      <c r="W40" s="55"/>
      <c r="X40" s="55"/>
      <c r="Y40" s="55"/>
      <c r="Z40" s="55"/>
      <c r="AA40" s="56"/>
      <c r="AB40" s="56"/>
      <c r="AC40" s="56"/>
      <c r="AD40" s="56"/>
      <c r="AE40" s="56"/>
      <c r="AF40" s="56"/>
      <c r="AG40" s="56"/>
      <c r="AH40" s="56"/>
      <c r="AI40" s="56"/>
    </row>
    <row r="41" spans="1:36" s="54" customFormat="1" ht="15.6" x14ac:dyDescent="0.3">
      <c r="A41" s="170" t="s">
        <v>105</v>
      </c>
      <c r="B41" s="200" t="s">
        <v>65</v>
      </c>
      <c r="C41" s="201">
        <f>(($F$38-$F$25-$F$26)+SUM(F45:F49))/2</f>
        <v>277.33015831952656</v>
      </c>
      <c r="D41" s="198" t="s">
        <v>40</v>
      </c>
      <c r="E41" s="202">
        <v>0.05</v>
      </c>
      <c r="F41" s="175">
        <f t="shared" si="5"/>
        <v>13.866507915976328</v>
      </c>
      <c r="G41" s="175">
        <f t="shared" si="4"/>
        <v>256812.16388641472</v>
      </c>
      <c r="H41" s="72"/>
      <c r="I41" s="72"/>
      <c r="J41" s="53"/>
      <c r="K41" s="51"/>
      <c r="L41" s="51"/>
      <c r="M41" s="72"/>
      <c r="N41" s="51"/>
      <c r="O41" s="51"/>
      <c r="P41" s="51"/>
      <c r="Q41" s="51"/>
      <c r="R41" s="51"/>
      <c r="S41" s="51"/>
      <c r="T41" s="51"/>
      <c r="U41" s="51"/>
      <c r="X41" s="55"/>
      <c r="Y41" s="55"/>
      <c r="Z41" s="55"/>
      <c r="AA41" s="55"/>
      <c r="AB41" s="56"/>
      <c r="AC41" s="56"/>
      <c r="AD41" s="56"/>
      <c r="AE41" s="56"/>
      <c r="AF41" s="56"/>
      <c r="AG41" s="56"/>
      <c r="AH41" s="56"/>
      <c r="AI41" s="56"/>
      <c r="AJ41" s="56"/>
    </row>
    <row r="42" spans="1:36" s="54" customFormat="1" ht="15.6" x14ac:dyDescent="0.3">
      <c r="A42" s="177"/>
      <c r="B42" s="203"/>
      <c r="C42" s="191"/>
      <c r="D42" s="176"/>
      <c r="E42" s="204"/>
      <c r="F42" s="175"/>
      <c r="G42" s="175"/>
      <c r="H42" s="72"/>
      <c r="I42" s="53"/>
      <c r="J42" s="51"/>
      <c r="K42" s="51"/>
      <c r="L42" s="72"/>
      <c r="M42" s="51"/>
      <c r="N42" s="51"/>
      <c r="O42" s="51"/>
      <c r="P42" s="51"/>
      <c r="Q42" s="51"/>
      <c r="R42" s="51"/>
      <c r="S42" s="51"/>
      <c r="T42" s="51"/>
      <c r="W42" s="55"/>
      <c r="X42" s="55"/>
      <c r="Y42" s="55"/>
      <c r="Z42" s="55"/>
      <c r="AA42" s="56"/>
      <c r="AB42" s="56"/>
      <c r="AC42" s="56"/>
      <c r="AD42" s="56"/>
      <c r="AE42" s="56"/>
      <c r="AF42" s="56"/>
      <c r="AG42" s="56"/>
      <c r="AH42" s="56"/>
      <c r="AI42" s="56"/>
    </row>
    <row r="43" spans="1:36" s="54" customFormat="1" ht="16.2" x14ac:dyDescent="0.35">
      <c r="A43" s="205"/>
      <c r="B43" s="193" t="s">
        <v>50</v>
      </c>
      <c r="C43" s="206" t="s">
        <v>39</v>
      </c>
      <c r="D43" s="193"/>
      <c r="E43" s="195" t="s">
        <v>39</v>
      </c>
      <c r="F43" s="183">
        <f>SUM(F39:F42)</f>
        <v>28.816545064362536</v>
      </c>
      <c r="G43" s="196">
        <f>F43*$B$4*$B$5</f>
        <v>533691.63588641479</v>
      </c>
      <c r="H43" s="72"/>
      <c r="I43" s="53"/>
      <c r="J43" s="51"/>
      <c r="K43" s="51"/>
      <c r="L43" s="72"/>
      <c r="M43" s="51"/>
      <c r="N43" s="51"/>
      <c r="O43" s="51"/>
      <c r="P43" s="51"/>
      <c r="Q43" s="51"/>
      <c r="R43" s="51"/>
      <c r="S43" s="51"/>
      <c r="T43" s="51"/>
      <c r="W43" s="55"/>
      <c r="X43" s="55"/>
      <c r="Y43" s="55"/>
      <c r="Z43" s="55"/>
      <c r="AA43" s="56"/>
      <c r="AB43" s="56"/>
      <c r="AC43" s="56"/>
      <c r="AD43" s="56"/>
      <c r="AE43" s="56"/>
      <c r="AF43" s="56"/>
      <c r="AG43" s="56"/>
      <c r="AH43" s="56"/>
      <c r="AI43" s="56"/>
    </row>
    <row r="44" spans="1:36" s="54" customFormat="1" ht="15.6" x14ac:dyDescent="0.3">
      <c r="A44" s="170" t="s">
        <v>51</v>
      </c>
      <c r="B44" s="200" t="s">
        <v>65</v>
      </c>
      <c r="C44" s="207">
        <f>IF(Investeringskalkyl!$C$14="slaktgrisar",1,0)</f>
        <v>1</v>
      </c>
      <c r="D44" s="208" t="s">
        <v>40</v>
      </c>
      <c r="E44" s="209">
        <f>Investeringskalkyl!$F$72*(Investeringskalkyl!$B$23/(1-(1+Investeringskalkyl!$B$23)^(-Investeringskalkyl!$B$26)))/$B$5</f>
        <v>143.17021840414759</v>
      </c>
      <c r="F44" s="175">
        <f>C44*E44</f>
        <v>143.17021840414759</v>
      </c>
      <c r="G44" s="175">
        <f t="shared" si="4"/>
        <v>2651558.2593147024</v>
      </c>
      <c r="H44" s="72"/>
      <c r="I44" s="53"/>
      <c r="J44" s="51"/>
      <c r="K44" s="51"/>
      <c r="L44" s="72"/>
      <c r="M44" s="51"/>
      <c r="N44" s="51"/>
      <c r="O44" s="51"/>
      <c r="P44" s="51"/>
      <c r="Q44" s="51"/>
      <c r="R44" s="51"/>
      <c r="S44" s="51"/>
      <c r="T44" s="51"/>
      <c r="W44" s="55"/>
      <c r="X44" s="55"/>
      <c r="Y44" s="55"/>
      <c r="Z44" s="55"/>
      <c r="AA44" s="56"/>
      <c r="AB44" s="56"/>
      <c r="AC44" s="56"/>
      <c r="AD44" s="56"/>
      <c r="AE44" s="56"/>
      <c r="AF44" s="56"/>
      <c r="AG44" s="56"/>
      <c r="AH44" s="56"/>
      <c r="AI44" s="56"/>
    </row>
    <row r="45" spans="1:36" s="54" customFormat="1" ht="15.6" x14ac:dyDescent="0.3">
      <c r="A45" s="177" t="s">
        <v>60</v>
      </c>
      <c r="B45" s="171">
        <v>17</v>
      </c>
      <c r="C45" s="191">
        <v>1</v>
      </c>
      <c r="D45" s="173" t="s">
        <v>40</v>
      </c>
      <c r="E45" s="210">
        <v>4</v>
      </c>
      <c r="F45" s="175">
        <f t="shared" ref="F45:F48" si="6">C45*E45</f>
        <v>4</v>
      </c>
      <c r="G45" s="175">
        <f t="shared" si="4"/>
        <v>74081.279999999999</v>
      </c>
      <c r="H45" s="72"/>
      <c r="I45" s="53"/>
      <c r="J45" s="51"/>
      <c r="K45" s="51"/>
      <c r="L45" s="72"/>
      <c r="M45" s="51"/>
      <c r="N45" s="51"/>
      <c r="O45" s="51"/>
      <c r="P45" s="51"/>
      <c r="Q45" s="51"/>
      <c r="R45" s="51"/>
      <c r="S45" s="51"/>
      <c r="T45" s="51"/>
      <c r="W45" s="55"/>
      <c r="X45" s="55"/>
      <c r="Y45" s="55"/>
      <c r="Z45" s="55"/>
      <c r="AA45" s="56"/>
      <c r="AB45" s="56"/>
      <c r="AC45" s="56"/>
      <c r="AD45" s="56"/>
      <c r="AE45" s="56"/>
      <c r="AF45" s="56"/>
      <c r="AG45" s="56"/>
      <c r="AH45" s="56"/>
      <c r="AI45" s="56"/>
    </row>
    <row r="46" spans="1:36" s="54" customFormat="1" ht="15.6" x14ac:dyDescent="0.3">
      <c r="A46" s="177" t="s">
        <v>61</v>
      </c>
      <c r="B46" s="171">
        <v>18</v>
      </c>
      <c r="C46" s="191">
        <v>1</v>
      </c>
      <c r="D46" s="173" t="s">
        <v>40</v>
      </c>
      <c r="E46" s="211">
        <v>2</v>
      </c>
      <c r="F46" s="175">
        <f t="shared" si="6"/>
        <v>2</v>
      </c>
      <c r="G46" s="175">
        <f t="shared" si="4"/>
        <v>37040.639999999999</v>
      </c>
      <c r="H46" s="51"/>
      <c r="I46" s="53"/>
      <c r="J46" s="53"/>
      <c r="K46" s="51"/>
      <c r="L46" s="72"/>
      <c r="M46" s="51"/>
      <c r="N46" s="51"/>
      <c r="O46" s="51"/>
      <c r="P46" s="51"/>
      <c r="Q46" s="51"/>
      <c r="R46" s="51"/>
      <c r="S46" s="51"/>
      <c r="T46" s="51"/>
      <c r="W46" s="55"/>
      <c r="X46" s="55"/>
      <c r="Y46" s="55"/>
      <c r="Z46" s="55"/>
      <c r="AA46" s="56"/>
      <c r="AB46" s="56"/>
      <c r="AC46" s="56"/>
      <c r="AD46" s="56"/>
      <c r="AE46" s="56"/>
      <c r="AF46" s="56"/>
      <c r="AG46" s="56"/>
      <c r="AH46" s="56"/>
      <c r="AI46" s="56"/>
    </row>
    <row r="47" spans="1:36" s="54" customFormat="1" ht="15.6" x14ac:dyDescent="0.3">
      <c r="A47" s="177" t="s">
        <v>55</v>
      </c>
      <c r="B47" s="212">
        <v>19</v>
      </c>
      <c r="C47" s="197">
        <v>0.18</v>
      </c>
      <c r="D47" s="173" t="s">
        <v>52</v>
      </c>
      <c r="E47" s="174">
        <v>230</v>
      </c>
      <c r="F47" s="175">
        <f t="shared" si="6"/>
        <v>41.4</v>
      </c>
      <c r="G47" s="175">
        <f t="shared" si="4"/>
        <v>766741.24799999991</v>
      </c>
      <c r="H47" s="72"/>
      <c r="I47" s="53"/>
      <c r="J47" s="51"/>
      <c r="K47" s="51"/>
      <c r="L47" s="72"/>
      <c r="M47" s="51"/>
      <c r="N47" s="51"/>
      <c r="O47" s="51"/>
      <c r="P47" s="51"/>
      <c r="Q47" s="51"/>
      <c r="R47" s="51"/>
      <c r="S47" s="51"/>
      <c r="T47" s="51"/>
      <c r="W47" s="55"/>
      <c r="X47" s="55"/>
      <c r="Y47" s="55"/>
      <c r="Z47" s="55"/>
      <c r="AA47" s="56"/>
      <c r="AB47" s="56"/>
      <c r="AC47" s="56"/>
      <c r="AD47" s="56"/>
      <c r="AE47" s="56"/>
      <c r="AF47" s="56"/>
      <c r="AG47" s="56"/>
      <c r="AH47" s="56"/>
      <c r="AI47" s="56"/>
    </row>
    <row r="48" spans="1:36" s="54" customFormat="1" ht="15.6" x14ac:dyDescent="0.3">
      <c r="A48" s="177" t="s">
        <v>94</v>
      </c>
      <c r="B48" s="171">
        <v>20</v>
      </c>
      <c r="C48" s="191">
        <f>200/Blad1!E7</f>
        <v>1.1556952662721892E-2</v>
      </c>
      <c r="D48" s="173" t="s">
        <v>52</v>
      </c>
      <c r="E48" s="174">
        <v>240</v>
      </c>
      <c r="F48" s="175">
        <f t="shared" si="6"/>
        <v>2.7736686390532541</v>
      </c>
      <c r="G48" s="175">
        <f t="shared" si="4"/>
        <v>51369.230769230759</v>
      </c>
      <c r="H48" s="72"/>
      <c r="I48" s="53"/>
      <c r="J48" s="51"/>
      <c r="K48" s="51"/>
      <c r="L48" s="72"/>
      <c r="M48" s="51"/>
      <c r="N48" s="51"/>
      <c r="O48" s="51"/>
      <c r="P48" s="51"/>
      <c r="Q48" s="51"/>
      <c r="R48" s="51"/>
      <c r="S48" s="51"/>
      <c r="T48" s="51"/>
      <c r="W48" s="55"/>
      <c r="X48" s="55"/>
      <c r="Y48" s="55"/>
      <c r="Z48" s="55"/>
      <c r="AA48" s="56"/>
      <c r="AB48" s="56"/>
      <c r="AC48" s="56"/>
      <c r="AD48" s="56"/>
      <c r="AE48" s="56"/>
      <c r="AF48" s="56"/>
      <c r="AG48" s="56"/>
      <c r="AH48" s="56"/>
      <c r="AI48" s="56"/>
    </row>
    <row r="49" spans="1:37" s="54" customFormat="1" ht="15.6" x14ac:dyDescent="0.3">
      <c r="A49" s="177"/>
      <c r="B49" s="171"/>
      <c r="C49" s="191"/>
      <c r="D49" s="173"/>
      <c r="E49" s="174"/>
      <c r="F49" s="175"/>
      <c r="G49" s="175"/>
      <c r="H49" s="72"/>
      <c r="I49" s="53"/>
      <c r="J49" s="51"/>
      <c r="K49" s="51"/>
      <c r="L49" s="72"/>
      <c r="M49" s="51"/>
      <c r="N49" s="51"/>
      <c r="O49" s="51"/>
      <c r="P49" s="51"/>
      <c r="Q49" s="51"/>
      <c r="R49" s="51"/>
      <c r="S49" s="51"/>
      <c r="T49" s="51"/>
      <c r="W49" s="55"/>
      <c r="X49" s="55"/>
      <c r="Y49" s="55"/>
      <c r="Z49" s="55"/>
      <c r="AA49" s="56"/>
      <c r="AB49" s="56"/>
      <c r="AC49" s="56"/>
      <c r="AD49" s="56"/>
      <c r="AE49" s="56"/>
      <c r="AF49" s="56"/>
      <c r="AG49" s="56"/>
      <c r="AH49" s="56"/>
      <c r="AI49" s="56"/>
    </row>
    <row r="50" spans="1:37" s="54" customFormat="1" ht="16.2" x14ac:dyDescent="0.35">
      <c r="A50" s="213"/>
      <c r="B50" s="193" t="s">
        <v>53</v>
      </c>
      <c r="C50" s="194"/>
      <c r="D50" s="193"/>
      <c r="E50" s="214"/>
      <c r="F50" s="183">
        <f>SUM(F44:F49)</f>
        <v>193.34388704320085</v>
      </c>
      <c r="G50" s="196">
        <f>F50*$B$4*$B$5</f>
        <v>3580790.6580839334</v>
      </c>
      <c r="H50" s="51"/>
      <c r="I50" s="53"/>
      <c r="J50" s="53"/>
      <c r="K50" s="51"/>
      <c r="L50" s="72"/>
      <c r="M50" s="51"/>
      <c r="N50" s="51"/>
      <c r="O50" s="51"/>
      <c r="P50" s="51"/>
      <c r="Q50" s="51"/>
      <c r="R50" s="51"/>
      <c r="S50" s="51"/>
      <c r="T50" s="51"/>
      <c r="W50" s="55"/>
      <c r="X50" s="55"/>
      <c r="Y50" s="55"/>
      <c r="Z50" s="55"/>
      <c r="AA50" s="56"/>
      <c r="AB50" s="56"/>
      <c r="AC50" s="56"/>
      <c r="AD50" s="56"/>
      <c r="AE50" s="56"/>
      <c r="AF50" s="56"/>
      <c r="AG50" s="56"/>
      <c r="AH50" s="56"/>
      <c r="AI50" s="56"/>
    </row>
    <row r="51" spans="1:37" s="54" customFormat="1" ht="16.2" x14ac:dyDescent="0.35">
      <c r="A51" s="192" t="s">
        <v>66</v>
      </c>
      <c r="B51" s="193"/>
      <c r="C51" s="194"/>
      <c r="D51" s="193"/>
      <c r="E51" s="214"/>
      <c r="F51" s="183">
        <f>$F$38+$F$43+$F$50</f>
        <v>1375.6470801075632</v>
      </c>
      <c r="G51" s="196">
        <f t="shared" si="4"/>
        <v>25477424.130657703</v>
      </c>
      <c r="H51" s="51"/>
      <c r="I51" s="53"/>
      <c r="J51" s="53"/>
      <c r="K51" s="51"/>
      <c r="L51" s="72"/>
      <c r="M51" s="51"/>
      <c r="N51" s="51"/>
      <c r="O51" s="51"/>
      <c r="P51" s="51"/>
      <c r="Q51" s="51"/>
      <c r="R51" s="51"/>
      <c r="S51" s="51"/>
      <c r="T51" s="51"/>
      <c r="W51" s="55"/>
      <c r="X51" s="55"/>
      <c r="Y51" s="55"/>
      <c r="Z51" s="55"/>
      <c r="AA51" s="56"/>
      <c r="AB51" s="56"/>
      <c r="AC51" s="56"/>
      <c r="AD51" s="56"/>
      <c r="AE51" s="56"/>
      <c r="AF51" s="56"/>
      <c r="AG51" s="56"/>
      <c r="AH51" s="56"/>
      <c r="AI51" s="56"/>
    </row>
    <row r="52" spans="1:37" s="54" customFormat="1" x14ac:dyDescent="0.25">
      <c r="A52" s="38"/>
      <c r="B52" s="51"/>
      <c r="C52" s="51"/>
      <c r="D52" s="51"/>
      <c r="E52" s="51"/>
      <c r="F52" s="45"/>
      <c r="G52" s="45"/>
      <c r="H52" s="51"/>
      <c r="I52" s="53"/>
      <c r="J52" s="53"/>
      <c r="K52" s="51"/>
      <c r="L52" s="72"/>
      <c r="M52" s="51"/>
      <c r="N52" s="51"/>
      <c r="O52" s="51"/>
      <c r="P52" s="51"/>
      <c r="Q52" s="51"/>
      <c r="R52" s="51"/>
      <c r="S52" s="51"/>
      <c r="T52" s="51"/>
      <c r="W52" s="55"/>
      <c r="X52" s="55"/>
      <c r="Y52" s="55"/>
      <c r="Z52" s="55"/>
      <c r="AA52" s="56"/>
      <c r="AB52" s="56"/>
      <c r="AC52" s="56"/>
      <c r="AD52" s="56"/>
      <c r="AE52" s="56"/>
      <c r="AF52" s="56"/>
      <c r="AG52" s="56"/>
      <c r="AH52" s="56"/>
      <c r="AI52" s="56"/>
    </row>
    <row r="53" spans="1:37" s="54" customFormat="1" x14ac:dyDescent="0.25">
      <c r="A53" s="73"/>
      <c r="C53" s="51"/>
      <c r="D53" s="51"/>
      <c r="E53" s="74"/>
      <c r="F53" s="39">
        <f>F22-F51</f>
        <v>88.972919892436721</v>
      </c>
      <c r="G53" s="75"/>
      <c r="H53" s="76"/>
      <c r="I53" s="76"/>
      <c r="J53" s="51"/>
      <c r="K53" s="53"/>
      <c r="L53" s="53"/>
      <c r="M53" s="53"/>
      <c r="N53" s="72"/>
      <c r="O53" s="51"/>
      <c r="P53" s="51"/>
      <c r="Q53" s="51"/>
      <c r="R53" s="51"/>
      <c r="S53" s="51"/>
      <c r="T53" s="51"/>
      <c r="U53" s="51"/>
      <c r="V53" s="51"/>
      <c r="Y53" s="55"/>
      <c r="Z53" s="55"/>
      <c r="AA53" s="55"/>
      <c r="AB53" s="55"/>
      <c r="AC53" s="56"/>
      <c r="AD53" s="56"/>
      <c r="AE53" s="56"/>
      <c r="AF53" s="56"/>
      <c r="AG53" s="56"/>
      <c r="AH53" s="56"/>
      <c r="AI53" s="56"/>
      <c r="AJ53" s="56"/>
      <c r="AK53" s="56"/>
    </row>
    <row r="54" spans="1:37" s="54" customFormat="1" x14ac:dyDescent="0.25">
      <c r="A54" s="73"/>
      <c r="C54" s="51"/>
      <c r="D54" s="51"/>
      <c r="E54" s="74"/>
      <c r="G54" s="51"/>
      <c r="H54" s="77"/>
      <c r="I54" s="76"/>
      <c r="J54" s="51"/>
      <c r="K54" s="53"/>
      <c r="L54" s="53"/>
      <c r="M54" s="53"/>
      <c r="N54" s="72"/>
      <c r="O54" s="51"/>
      <c r="P54" s="51"/>
      <c r="Q54" s="51"/>
      <c r="R54" s="51"/>
      <c r="S54" s="51"/>
      <c r="T54" s="51"/>
      <c r="U54" s="51"/>
      <c r="V54" s="51"/>
      <c r="Y54" s="55"/>
      <c r="Z54" s="55"/>
      <c r="AA54" s="55"/>
      <c r="AB54" s="55"/>
      <c r="AC54" s="56"/>
      <c r="AD54" s="56"/>
      <c r="AE54" s="56"/>
      <c r="AF54" s="56"/>
      <c r="AG54" s="56"/>
      <c r="AH54" s="56"/>
      <c r="AI54" s="56"/>
      <c r="AJ54" s="56"/>
      <c r="AK54" s="56"/>
    </row>
    <row r="55" spans="1:37" s="54" customFormat="1" x14ac:dyDescent="0.25">
      <c r="A55" s="73"/>
      <c r="C55" s="51"/>
      <c r="D55" s="51"/>
      <c r="E55" s="74"/>
      <c r="G55" s="51"/>
      <c r="H55" s="77"/>
      <c r="I55" s="76"/>
      <c r="J55" s="51"/>
      <c r="K55" s="53"/>
      <c r="L55" s="53"/>
      <c r="M55" s="53"/>
      <c r="N55" s="72"/>
      <c r="O55" s="51"/>
      <c r="P55" s="51"/>
      <c r="Q55" s="51"/>
      <c r="R55" s="51"/>
      <c r="S55" s="51"/>
      <c r="T55" s="51"/>
      <c r="U55" s="51"/>
      <c r="V55" s="51"/>
      <c r="Y55" s="55"/>
      <c r="Z55" s="55"/>
      <c r="AA55" s="55"/>
      <c r="AB55" s="55"/>
      <c r="AC55" s="56"/>
      <c r="AD55" s="56"/>
      <c r="AE55" s="56"/>
      <c r="AF55" s="56"/>
      <c r="AG55" s="56"/>
      <c r="AH55" s="56"/>
      <c r="AI55" s="56"/>
      <c r="AJ55" s="56"/>
      <c r="AK55" s="56"/>
    </row>
    <row r="56" spans="1:37" s="54" customFormat="1" x14ac:dyDescent="0.25">
      <c r="A56" s="73"/>
      <c r="C56" s="51">
        <f>0.18*4992*3.72</f>
        <v>3342.6432</v>
      </c>
      <c r="D56" s="51"/>
      <c r="E56" s="74"/>
      <c r="G56" s="51"/>
      <c r="H56" s="76"/>
      <c r="I56" s="76"/>
      <c r="J56" s="51"/>
      <c r="K56" s="53"/>
      <c r="L56" s="53"/>
      <c r="M56" s="53"/>
      <c r="N56" s="72"/>
      <c r="O56" s="51"/>
      <c r="P56" s="51"/>
      <c r="Q56" s="51"/>
      <c r="R56" s="51"/>
      <c r="S56" s="51"/>
      <c r="T56" s="51"/>
      <c r="U56" s="51"/>
      <c r="V56" s="51"/>
      <c r="Y56" s="55"/>
      <c r="Z56" s="55"/>
      <c r="AA56" s="55"/>
      <c r="AB56" s="55"/>
      <c r="AC56" s="56"/>
      <c r="AD56" s="56"/>
      <c r="AE56" s="56"/>
      <c r="AF56" s="56"/>
      <c r="AG56" s="56"/>
      <c r="AH56" s="56"/>
      <c r="AI56" s="56"/>
      <c r="AJ56" s="56"/>
      <c r="AK56" s="56"/>
    </row>
    <row r="57" spans="1:37" s="54" customFormat="1" x14ac:dyDescent="0.25">
      <c r="A57" s="73"/>
      <c r="C57" s="51">
        <f>C56/1800</f>
        <v>1.857024</v>
      </c>
      <c r="D57" s="51"/>
      <c r="E57" s="74"/>
      <c r="G57" s="74"/>
      <c r="H57" s="76"/>
      <c r="I57" s="76"/>
      <c r="J57" s="51"/>
      <c r="K57" s="53"/>
      <c r="L57" s="53"/>
      <c r="M57" s="53"/>
      <c r="N57" s="72"/>
      <c r="O57" s="51"/>
      <c r="P57" s="51"/>
      <c r="Q57" s="51"/>
      <c r="R57" s="51"/>
      <c r="S57" s="51"/>
      <c r="T57" s="51"/>
      <c r="U57" s="51"/>
      <c r="V57" s="51"/>
      <c r="Y57" s="55"/>
      <c r="Z57" s="55"/>
      <c r="AA57" s="55"/>
      <c r="AB57" s="55"/>
      <c r="AC57" s="56"/>
      <c r="AD57" s="56"/>
      <c r="AE57" s="56"/>
      <c r="AF57" s="56"/>
      <c r="AG57" s="56"/>
      <c r="AH57" s="56"/>
      <c r="AI57" s="56"/>
      <c r="AJ57" s="56"/>
      <c r="AK57" s="56"/>
    </row>
    <row r="58" spans="1:37" s="54" customFormat="1" x14ac:dyDescent="0.25">
      <c r="A58" s="73"/>
      <c r="C58" s="51"/>
      <c r="D58" s="51"/>
      <c r="E58" s="74"/>
      <c r="G58" s="74"/>
      <c r="H58" s="53"/>
      <c r="I58" s="53"/>
      <c r="J58" s="72"/>
      <c r="K58" s="51"/>
      <c r="L58" s="51"/>
      <c r="M58" s="51"/>
      <c r="N58" s="51"/>
      <c r="O58" s="51"/>
      <c r="P58" s="51"/>
      <c r="Q58" s="51"/>
      <c r="R58" s="51"/>
      <c r="U58" s="55"/>
      <c r="V58" s="55"/>
      <c r="W58" s="55"/>
      <c r="X58" s="55"/>
      <c r="Y58" s="56"/>
      <c r="Z58" s="56"/>
      <c r="AA58" s="56"/>
      <c r="AB58" s="56"/>
      <c r="AC58" s="56"/>
      <c r="AD58" s="56"/>
      <c r="AE58" s="56"/>
      <c r="AF58" s="56"/>
      <c r="AG58" s="56"/>
    </row>
    <row r="59" spans="1:37" s="54" customFormat="1" x14ac:dyDescent="0.25">
      <c r="A59" s="73"/>
      <c r="C59" s="51"/>
      <c r="D59" s="51"/>
      <c r="E59" s="74"/>
      <c r="G59" s="74"/>
      <c r="H59" s="53"/>
      <c r="I59" s="53"/>
      <c r="J59" s="72"/>
      <c r="K59" s="51"/>
      <c r="L59" s="51"/>
      <c r="M59" s="51"/>
      <c r="N59" s="51"/>
      <c r="O59" s="51"/>
      <c r="P59" s="51"/>
      <c r="Q59" s="51"/>
      <c r="R59" s="51"/>
      <c r="U59" s="55"/>
      <c r="V59" s="55"/>
      <c r="W59" s="55"/>
      <c r="X59" s="55"/>
      <c r="Y59" s="56"/>
      <c r="Z59" s="56"/>
      <c r="AA59" s="56"/>
      <c r="AB59" s="56"/>
      <c r="AC59" s="56"/>
      <c r="AD59" s="56"/>
      <c r="AE59" s="56"/>
      <c r="AF59" s="56"/>
      <c r="AG59" s="56"/>
    </row>
    <row r="60" spans="1:37" s="54" customFormat="1" x14ac:dyDescent="0.25">
      <c r="C60" s="51"/>
      <c r="D60" s="51"/>
      <c r="E60" s="74"/>
      <c r="G60" s="74"/>
      <c r="H60" s="53"/>
      <c r="I60" s="53"/>
      <c r="J60" s="72"/>
      <c r="K60" s="51"/>
      <c r="L60" s="51"/>
      <c r="M60" s="51"/>
      <c r="N60" s="51"/>
      <c r="O60" s="51"/>
      <c r="P60" s="51"/>
      <c r="Q60" s="51"/>
      <c r="R60" s="51"/>
      <c r="U60" s="55"/>
      <c r="V60" s="55"/>
      <c r="W60" s="55"/>
      <c r="X60" s="55"/>
      <c r="Y60" s="56"/>
      <c r="Z60" s="56"/>
      <c r="AA60" s="56"/>
      <c r="AB60" s="56"/>
      <c r="AC60" s="56"/>
      <c r="AD60" s="56"/>
      <c r="AE60" s="56"/>
      <c r="AF60" s="56"/>
      <c r="AG60" s="56"/>
    </row>
    <row r="61" spans="1:37" s="54" customFormat="1" x14ac:dyDescent="0.25">
      <c r="C61" s="51"/>
      <c r="D61" s="51"/>
      <c r="E61" s="74"/>
      <c r="G61" s="74"/>
      <c r="H61" s="53"/>
      <c r="I61" s="53"/>
      <c r="J61" s="72"/>
      <c r="K61" s="51"/>
      <c r="L61" s="51"/>
      <c r="M61" s="51"/>
      <c r="N61" s="51"/>
      <c r="O61" s="51"/>
      <c r="P61" s="51"/>
      <c r="Q61" s="51"/>
      <c r="R61" s="51"/>
      <c r="U61" s="55"/>
      <c r="V61" s="55"/>
      <c r="W61" s="55"/>
      <c r="X61" s="55"/>
      <c r="Y61" s="56"/>
      <c r="Z61" s="56"/>
      <c r="AA61" s="56"/>
      <c r="AB61" s="56"/>
      <c r="AC61" s="56"/>
      <c r="AD61" s="56"/>
    </row>
    <row r="62" spans="1:37" s="54" customFormat="1" x14ac:dyDescent="0.25">
      <c r="C62" s="51"/>
      <c r="D62" s="51"/>
      <c r="E62" s="74"/>
      <c r="G62" s="74"/>
      <c r="H62" s="53"/>
      <c r="I62" s="53"/>
      <c r="J62" s="72"/>
      <c r="K62" s="51"/>
      <c r="L62" s="51"/>
      <c r="M62" s="51"/>
      <c r="N62" s="51"/>
      <c r="O62" s="51"/>
      <c r="P62" s="51"/>
      <c r="Q62" s="51"/>
      <c r="R62" s="51"/>
      <c r="U62" s="55"/>
      <c r="V62" s="55"/>
      <c r="W62" s="55"/>
      <c r="X62" s="55"/>
      <c r="Y62" s="56"/>
      <c r="Z62" s="56"/>
      <c r="AA62" s="56"/>
      <c r="AB62" s="56"/>
      <c r="AC62" s="56"/>
      <c r="AD62" s="56"/>
    </row>
    <row r="63" spans="1:37" s="54" customFormat="1" x14ac:dyDescent="0.25">
      <c r="C63" s="51"/>
      <c r="D63" s="51"/>
      <c r="E63" s="74"/>
      <c r="G63" s="51"/>
      <c r="H63" s="53"/>
      <c r="I63" s="53"/>
      <c r="J63" s="72"/>
      <c r="K63" s="51"/>
      <c r="L63" s="51"/>
      <c r="M63" s="51"/>
      <c r="N63" s="51"/>
      <c r="O63" s="51"/>
      <c r="P63" s="51"/>
      <c r="Q63" s="51"/>
      <c r="R63" s="51"/>
      <c r="U63" s="55"/>
      <c r="V63" s="55"/>
      <c r="W63" s="55"/>
      <c r="X63" s="55"/>
      <c r="Y63" s="56"/>
      <c r="Z63" s="56"/>
      <c r="AA63" s="56"/>
      <c r="AB63" s="56"/>
      <c r="AC63" s="56"/>
      <c r="AD63" s="56"/>
    </row>
    <row r="64" spans="1:37" x14ac:dyDescent="0.25">
      <c r="C64" s="51"/>
      <c r="D64" s="51"/>
      <c r="E64" s="74"/>
      <c r="F64" s="54"/>
      <c r="G64" s="51"/>
    </row>
    <row r="65" spans="2:7" x14ac:dyDescent="0.25">
      <c r="C65" s="51"/>
      <c r="D65" s="51"/>
      <c r="E65" s="74"/>
      <c r="F65" s="54"/>
      <c r="G65" s="51"/>
    </row>
    <row r="66" spans="2:7" x14ac:dyDescent="0.25">
      <c r="B66" s="78"/>
    </row>
    <row r="67" spans="2:7" x14ac:dyDescent="0.25">
      <c r="B67" s="78"/>
    </row>
    <row r="68" spans="2:7" x14ac:dyDescent="0.25">
      <c r="B68" s="78"/>
    </row>
  </sheetData>
  <mergeCells count="1">
    <mergeCell ref="A11:B11"/>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5"/>
  <sheetViews>
    <sheetView workbookViewId="0">
      <selection activeCell="J22" sqref="J22"/>
    </sheetView>
  </sheetViews>
  <sheetFormatPr defaultRowHeight="14.4" x14ac:dyDescent="0.3"/>
  <cols>
    <col min="7" max="7" width="16.44140625" customWidth="1"/>
  </cols>
  <sheetData>
    <row r="2" spans="2:11" x14ac:dyDescent="0.3">
      <c r="B2" t="s">
        <v>157</v>
      </c>
      <c r="F2" s="81">
        <f>I21</f>
        <v>3.4666666666666668</v>
      </c>
    </row>
    <row r="3" spans="2:11" x14ac:dyDescent="0.3">
      <c r="C3" t="s">
        <v>138</v>
      </c>
    </row>
    <row r="4" spans="2:11" x14ac:dyDescent="0.3">
      <c r="C4" t="s">
        <v>154</v>
      </c>
    </row>
    <row r="5" spans="2:11" x14ac:dyDescent="0.3">
      <c r="C5" t="s">
        <v>137</v>
      </c>
    </row>
    <row r="7" spans="2:11" x14ac:dyDescent="0.3">
      <c r="B7" t="s">
        <v>132</v>
      </c>
      <c r="E7">
        <f>F2*4992</f>
        <v>17305.600000000002</v>
      </c>
    </row>
    <row r="8" spans="2:11" x14ac:dyDescent="0.3">
      <c r="B8" t="s">
        <v>133</v>
      </c>
      <c r="D8" s="80">
        <v>0.01</v>
      </c>
      <c r="E8">
        <f>E7*0.012</f>
        <v>207.66720000000004</v>
      </c>
    </row>
    <row r="9" spans="2:11" x14ac:dyDescent="0.3">
      <c r="B9" t="s">
        <v>134</v>
      </c>
      <c r="D9">
        <v>90</v>
      </c>
      <c r="E9" t="s">
        <v>43</v>
      </c>
    </row>
    <row r="10" spans="2:11" x14ac:dyDescent="0.3">
      <c r="B10" t="s">
        <v>135</v>
      </c>
      <c r="E10">
        <f>(E8*D9)/E7</f>
        <v>1.08</v>
      </c>
    </row>
    <row r="11" spans="2:11" x14ac:dyDescent="0.3">
      <c r="E11">
        <f>200/E7</f>
        <v>1.1556952662721892E-2</v>
      </c>
    </row>
    <row r="12" spans="2:11" x14ac:dyDescent="0.3">
      <c r="H12">
        <v>1.93</v>
      </c>
      <c r="I12" t="s">
        <v>141</v>
      </c>
      <c r="J12" t="s">
        <v>139</v>
      </c>
      <c r="K12" t="s">
        <v>140</v>
      </c>
    </row>
    <row r="13" spans="2:11" x14ac:dyDescent="0.3">
      <c r="H13">
        <v>1.75</v>
      </c>
      <c r="I13" t="s">
        <v>141</v>
      </c>
    </row>
    <row r="14" spans="2:11" x14ac:dyDescent="0.3">
      <c r="H14">
        <v>1.85</v>
      </c>
      <c r="I14" t="s">
        <v>141</v>
      </c>
    </row>
    <row r="16" spans="2:11" x14ac:dyDescent="0.3">
      <c r="G16" t="s">
        <v>151</v>
      </c>
      <c r="H16">
        <v>1200</v>
      </c>
      <c r="I16">
        <v>1100</v>
      </c>
      <c r="J16">
        <v>1000</v>
      </c>
      <c r="K16">
        <v>950</v>
      </c>
    </row>
    <row r="17" spans="3:14" x14ac:dyDescent="0.3">
      <c r="G17">
        <f>125-30</f>
        <v>95</v>
      </c>
      <c r="H17" s="83">
        <f>G17/1.2</f>
        <v>79.166666666666671</v>
      </c>
      <c r="I17" s="82">
        <f>G17/1.1</f>
        <v>86.36363636363636</v>
      </c>
      <c r="J17">
        <v>95</v>
      </c>
      <c r="K17">
        <f>G17/0.95</f>
        <v>100</v>
      </c>
    </row>
    <row r="18" spans="3:14" x14ac:dyDescent="0.3">
      <c r="C18" t="s">
        <v>144</v>
      </c>
      <c r="D18">
        <v>30</v>
      </c>
      <c r="H18">
        <v>84</v>
      </c>
      <c r="I18">
        <v>91</v>
      </c>
      <c r="J18">
        <v>100</v>
      </c>
      <c r="K18">
        <v>105</v>
      </c>
    </row>
    <row r="19" spans="3:14" x14ac:dyDescent="0.3">
      <c r="C19" t="s">
        <v>145</v>
      </c>
      <c r="D19">
        <v>90</v>
      </c>
      <c r="N19">
        <f>5/7</f>
        <v>0.7142857142857143</v>
      </c>
    </row>
    <row r="20" spans="3:14" x14ac:dyDescent="0.3">
      <c r="C20" t="s">
        <v>146</v>
      </c>
      <c r="D20">
        <v>125</v>
      </c>
      <c r="H20">
        <f>84/7</f>
        <v>12</v>
      </c>
      <c r="I20">
        <f>91/7</f>
        <v>13</v>
      </c>
      <c r="J20" s="83">
        <f>100/7</f>
        <v>14.285714285714286</v>
      </c>
      <c r="K20">
        <f>105/7</f>
        <v>15</v>
      </c>
    </row>
    <row r="21" spans="3:14" x14ac:dyDescent="0.3">
      <c r="H21" s="82">
        <f>52/14</f>
        <v>3.7142857142857144</v>
      </c>
      <c r="I21" s="82">
        <f>52/15</f>
        <v>3.4666666666666668</v>
      </c>
      <c r="J21" s="82">
        <f>52/(14.3+0.71)</f>
        <v>3.4643570952698197</v>
      </c>
      <c r="K21" s="82">
        <f>52/15.71</f>
        <v>3.3099936346276255</v>
      </c>
    </row>
    <row r="22" spans="3:14" x14ac:dyDescent="0.3">
      <c r="C22" t="s">
        <v>147</v>
      </c>
      <c r="D22">
        <v>1100</v>
      </c>
      <c r="E22" t="s">
        <v>43</v>
      </c>
    </row>
    <row r="23" spans="3:14" x14ac:dyDescent="0.3">
      <c r="C23" t="s">
        <v>148</v>
      </c>
      <c r="D23">
        <f>95/1.1</f>
        <v>86.36363636363636</v>
      </c>
    </row>
    <row r="25" spans="3:14" x14ac:dyDescent="0.3">
      <c r="C25">
        <v>13.9</v>
      </c>
      <c r="D25"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Intro</vt:lpstr>
      <vt:lpstr>Investeringskalkyl</vt:lpstr>
      <vt:lpstr>Driftkalkyl - Slaktgrisar</vt:lpstr>
      <vt:lpstr>Blad1</vt:lpstr>
    </vt:vector>
  </TitlesOfParts>
  <Company>Jordbruksverket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Fjertorp</dc:creator>
  <cp:lastModifiedBy>Jonas Fjertorp</cp:lastModifiedBy>
  <cp:lastPrinted>2016-06-13T14:16:34Z</cp:lastPrinted>
  <dcterms:created xsi:type="dcterms:W3CDTF">2016-06-01T07:08:09Z</dcterms:created>
  <dcterms:modified xsi:type="dcterms:W3CDTF">2018-01-24T13:11:38Z</dcterms:modified>
</cp:coreProperties>
</file>