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vdelning\Landsbygdsavdelningen\6.Landsbygdsutvecklingsenheten\Konkurrenskraft\Kompetensutveckling\Upphandlingar\Stalltävling 2016\Leverans o bedömning\Leveranser\Mjölkkor - Växa\Slutleverans\"/>
    </mc:Choice>
  </mc:AlternateContent>
  <bookViews>
    <workbookView xWindow="0" yWindow="0" windowWidth="28800" windowHeight="13692" tabRatio="800" activeTab="2"/>
  </bookViews>
  <sheets>
    <sheet name="Intro" sheetId="9" r:id="rId1"/>
    <sheet name="Investeringskalkyl" sheetId="1" r:id="rId2"/>
    <sheet name="Driftkalkyl - Mjölkkor" sheetId="4" r:id="rId3"/>
    <sheet name="Blad10" sheetId="10" r:id="rId4"/>
  </sheets>
  <definedNames>
    <definedName name="blue_a2">#REF!</definedName>
    <definedName name="Djurslag">Blad10!$A$3:$A$8</definedName>
    <definedName name="pristyp">#REF!</definedName>
    <definedName name="prodstorlek">#REF!</definedName>
    <definedName name="stodomrade">#REF!</definedName>
    <definedName name="Välj_djurslag">Blad10!$A$2:$A$8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4" i="4" l="1"/>
  <c r="C30" i="4" l="1"/>
  <c r="F36" i="4"/>
  <c r="G36" i="4" s="1"/>
  <c r="E21" i="4"/>
  <c r="C20" i="4"/>
  <c r="C19" i="4"/>
  <c r="C40" i="4" l="1"/>
  <c r="F54" i="1" l="1"/>
  <c r="F53" i="1" l="1"/>
  <c r="F18" i="4" l="1"/>
  <c r="E52" i="1" l="1"/>
  <c r="F47" i="1"/>
  <c r="F48" i="1"/>
  <c r="F49" i="1"/>
  <c r="E55" i="4" l="1"/>
  <c r="F40" i="4" l="1"/>
  <c r="C39" i="4"/>
  <c r="E51" i="4" l="1"/>
  <c r="E50" i="4"/>
  <c r="C60" i="1"/>
  <c r="C54" i="4" l="1"/>
  <c r="F32" i="4"/>
  <c r="F38" i="4"/>
  <c r="F33" i="4"/>
  <c r="F29" i="4"/>
  <c r="F20" i="4"/>
  <c r="F58" i="4"/>
  <c r="F57" i="4"/>
  <c r="F56" i="4"/>
  <c r="F55" i="4"/>
  <c r="F47" i="4"/>
  <c r="F46" i="4"/>
  <c r="F45" i="4"/>
  <c r="F44" i="4"/>
  <c r="F43" i="4"/>
  <c r="F42" i="4"/>
  <c r="F41" i="4"/>
  <c r="F39" i="4"/>
  <c r="F37" i="4"/>
  <c r="F35" i="4"/>
  <c r="F34" i="4"/>
  <c r="F31" i="4"/>
  <c r="F30" i="4"/>
  <c r="F24" i="4"/>
  <c r="F23" i="4"/>
  <c r="F22" i="4"/>
  <c r="F17" i="4"/>
  <c r="G40" i="4" l="1"/>
  <c r="G18" i="4"/>
  <c r="C50" i="4"/>
  <c r="F50" i="4" s="1"/>
  <c r="G50" i="4" s="1"/>
  <c r="G33" i="4"/>
  <c r="G38" i="4"/>
  <c r="G52" i="4"/>
  <c r="G32" i="4"/>
  <c r="F21" i="4"/>
  <c r="G21" i="4" s="1"/>
  <c r="F19" i="4"/>
  <c r="G19" i="4" s="1"/>
  <c r="G43" i="4"/>
  <c r="B9" i="4"/>
  <c r="G31" i="4"/>
  <c r="G47" i="4"/>
  <c r="G56" i="4"/>
  <c r="G17" i="4"/>
  <c r="G24" i="4"/>
  <c r="G34" i="4"/>
  <c r="G39" i="4"/>
  <c r="G44" i="4"/>
  <c r="G57" i="4"/>
  <c r="G22" i="4"/>
  <c r="G29" i="4"/>
  <c r="G35" i="4"/>
  <c r="G41" i="4"/>
  <c r="G45" i="4"/>
  <c r="G58" i="4"/>
  <c r="G20" i="4"/>
  <c r="G23" i="4"/>
  <c r="G30" i="4"/>
  <c r="G37" i="4"/>
  <c r="G42" i="4"/>
  <c r="G46" i="4"/>
  <c r="G55" i="4"/>
  <c r="F48" i="4"/>
  <c r="C51" i="4" s="1"/>
  <c r="F26" i="4" l="1"/>
  <c r="B11" i="4" s="1"/>
  <c r="G26" i="4"/>
  <c r="G48" i="4"/>
  <c r="F51" i="4"/>
  <c r="G51" i="4" l="1"/>
  <c r="F59" i="1" l="1"/>
  <c r="F56" i="1"/>
  <c r="F55" i="1"/>
  <c r="F52" i="1"/>
  <c r="F46" i="1"/>
  <c r="F45" i="1"/>
  <c r="F44" i="1"/>
  <c r="F41" i="1"/>
  <c r="F40" i="1"/>
  <c r="F37" i="1"/>
  <c r="F36" i="1"/>
  <c r="F33" i="1"/>
  <c r="B24" i="1"/>
  <c r="F61" i="1" l="1"/>
  <c r="F38" i="1"/>
  <c r="F42" i="1"/>
  <c r="F50" i="1"/>
  <c r="F34" i="1"/>
  <c r="F57" i="1"/>
  <c r="F62" i="1" l="1"/>
  <c r="F63" i="1" l="1"/>
  <c r="F64" i="1" s="1"/>
  <c r="B19" i="1" s="1"/>
  <c r="F65" i="1"/>
  <c r="F68" i="1"/>
  <c r="E49" i="4" l="1"/>
  <c r="F49" i="4" s="1"/>
  <c r="G49" i="4" s="1"/>
  <c r="F66" i="1"/>
  <c r="E54" i="4" l="1"/>
  <c r="F53" i="4"/>
  <c r="F59" i="4" l="1"/>
  <c r="G59" i="4" s="1"/>
  <c r="G54" i="4"/>
  <c r="G53" i="4"/>
  <c r="B12" i="4"/>
  <c r="B13" i="4" l="1"/>
  <c r="B7" i="4" s="1"/>
  <c r="B8" i="4" s="1"/>
  <c r="F60" i="4"/>
  <c r="G60" i="4" s="1"/>
  <c r="B17" i="1"/>
  <c r="B20" i="1" l="1"/>
  <c r="B21" i="1" s="1"/>
  <c r="B27" i="1" l="1"/>
  <c r="B26" i="1"/>
</calcChain>
</file>

<file path=xl/comments1.xml><?xml version="1.0" encoding="utf-8"?>
<comments xmlns="http://schemas.openxmlformats.org/spreadsheetml/2006/main">
  <authors>
    <author>Jonas Fjertorp</author>
  </authors>
  <commentList>
    <comment ref="E57" authorId="0" shapeId="0">
      <text>
        <r>
          <rPr>
            <sz val="9"/>
            <color indexed="81"/>
            <rFont val="Tahoma"/>
            <family val="2"/>
          </rPr>
          <t>Minst 220 kr per timme (inkl. sociala avgifter)</t>
        </r>
      </text>
    </comment>
  </commentList>
</comments>
</file>

<file path=xl/sharedStrings.xml><?xml version="1.0" encoding="utf-8"?>
<sst xmlns="http://schemas.openxmlformats.org/spreadsheetml/2006/main" count="204" uniqueCount="150">
  <si>
    <t>Total yta</t>
  </si>
  <si>
    <t>m2</t>
  </si>
  <si>
    <t>Byggdelar</t>
  </si>
  <si>
    <t>Utgift</t>
  </si>
  <si>
    <t>Kr/enhet</t>
  </si>
  <si>
    <t>Antal/yta</t>
  </si>
  <si>
    <t>Not</t>
  </si>
  <si>
    <t>Markarbete</t>
  </si>
  <si>
    <t>Byggnad</t>
  </si>
  <si>
    <t>Installationer</t>
  </si>
  <si>
    <t>VA-installationer</t>
  </si>
  <si>
    <t>El-installationer</t>
  </si>
  <si>
    <t>Gödselvårdsanläggning</t>
  </si>
  <si>
    <t>Gödselpump</t>
  </si>
  <si>
    <t>Pumpbrunn</t>
  </si>
  <si>
    <t>Gödselledningar</t>
  </si>
  <si>
    <t>Byggledning</t>
  </si>
  <si>
    <t>Inredning &amp; utrustning</t>
  </si>
  <si>
    <t>Delsumma markarbete</t>
  </si>
  <si>
    <t>Delsumma installationer</t>
  </si>
  <si>
    <t>Delsumma inredning &amp; utrustning</t>
  </si>
  <si>
    <t>Delsumma gödselvårdsanläggning</t>
  </si>
  <si>
    <t>Enhet</t>
  </si>
  <si>
    <t>Antal djurplatser</t>
  </si>
  <si>
    <t>Utrymmen för besök</t>
  </si>
  <si>
    <t>Utvecklingsgrupp</t>
  </si>
  <si>
    <t>Organisation</t>
  </si>
  <si>
    <t>Namn</t>
  </si>
  <si>
    <t>Kalkylmall</t>
  </si>
  <si>
    <t>suggor</t>
  </si>
  <si>
    <t>slaktgrisar</t>
  </si>
  <si>
    <t>tackor</t>
  </si>
  <si>
    <t>dikor</t>
  </si>
  <si>
    <t>slaktungnöt</t>
  </si>
  <si>
    <t>Välj djurslag…</t>
  </si>
  <si>
    <t/>
  </si>
  <si>
    <t>kr</t>
  </si>
  <si>
    <t>st</t>
  </si>
  <si>
    <t>ton</t>
  </si>
  <si>
    <t>kg</t>
  </si>
  <si>
    <t>El</t>
  </si>
  <si>
    <t>Produktionsrådgivning</t>
  </si>
  <si>
    <t>SUMMA SÄRKOSTNADER 1</t>
  </si>
  <si>
    <t>Ränta djurkapital</t>
  </si>
  <si>
    <t>SUMMA SÄRKOSTNADER 2</t>
  </si>
  <si>
    <t>Byggnader, avskr + ränta</t>
  </si>
  <si>
    <t>tim</t>
  </si>
  <si>
    <t>SUMMA SÄRKOSTNADER 3</t>
  </si>
  <si>
    <t>Grundförutsättningar</t>
  </si>
  <si>
    <t>Arbete (inkl. eget arbete)</t>
  </si>
  <si>
    <t>%</t>
  </si>
  <si>
    <t>Pris per enhet</t>
  </si>
  <si>
    <t>Övriga kostnader</t>
  </si>
  <si>
    <t>Nyckeltal</t>
  </si>
  <si>
    <t>Försäkringar för stallbyggnad</t>
  </si>
  <si>
    <t>Försäkringar för djur</t>
  </si>
  <si>
    <t>Investeringsstöd enligt schablon, totalt</t>
  </si>
  <si>
    <t>Investeringsutgift per djurplats utan stöd</t>
  </si>
  <si>
    <t>---</t>
  </si>
  <si>
    <t>Summa kostnader</t>
  </si>
  <si>
    <t>Ekonomisk livslängd</t>
  </si>
  <si>
    <t>år</t>
  </si>
  <si>
    <t>kr/år</t>
  </si>
  <si>
    <t>SUMMA med investeringsstöd (exkl. utrymme för visning)</t>
  </si>
  <si>
    <t>Investeringsutgift per djurplats med stöd</t>
  </si>
  <si>
    <t>Avkastningskrav på investering, nominell kalkylränta</t>
  </si>
  <si>
    <t>Inflation</t>
  </si>
  <si>
    <t>per år</t>
  </si>
  <si>
    <t>Real kalkylränta</t>
  </si>
  <si>
    <t>Byggledning &amp; ränta</t>
  </si>
  <si>
    <t>Delsumma byggledning &amp; ränta</t>
  </si>
  <si>
    <t>Ränta under byggtid</t>
  </si>
  <si>
    <t>Uppföljning av produktion, ekonomi &amp; drift</t>
  </si>
  <si>
    <t>Totalt för stallet</t>
  </si>
  <si>
    <t>Summa intäkter</t>
  </si>
  <si>
    <t>TB 1</t>
  </si>
  <si>
    <t>TB 2</t>
  </si>
  <si>
    <t>TB 3</t>
  </si>
  <si>
    <t>Investeringskalkyl</t>
  </si>
  <si>
    <t>Värde</t>
  </si>
  <si>
    <t>Yta stall</t>
  </si>
  <si>
    <t>Yta serviceutrymmen &amp; övriga utrymmen (exklusive utrymmen för visning)</t>
  </si>
  <si>
    <t>Yta utrymmen för visning</t>
  </si>
  <si>
    <t>INVESTERINGSUTGIFT</t>
  </si>
  <si>
    <t>GRUNDDATA</t>
  </si>
  <si>
    <t>Byggnader, löpande underhåll</t>
  </si>
  <si>
    <t>SÄRINTÄKTER</t>
  </si>
  <si>
    <t>SÄRKOSTNADER</t>
  </si>
  <si>
    <t>Gödsel</t>
  </si>
  <si>
    <t>Kompensationsstöd</t>
  </si>
  <si>
    <t>Grovfoder</t>
  </si>
  <si>
    <t>Fodersäd</t>
  </si>
  <si>
    <t>Mineralfoder</t>
  </si>
  <si>
    <t>Driftsledning</t>
  </si>
  <si>
    <t>Veterinär &amp; medicin</t>
  </si>
  <si>
    <t>mjölkkor</t>
  </si>
  <si>
    <t>Ränta rörelsekapital</t>
  </si>
  <si>
    <t>Nettonuvärde vid 5 % avkastning</t>
  </si>
  <si>
    <t>Investeringsutgift (efter investeringsstöd enligt schablon)</t>
  </si>
  <si>
    <t>Driftnetto per år enligt driftkalkyl</t>
  </si>
  <si>
    <t>Driftnetto per år exklusive avskrivningar och ränta</t>
  </si>
  <si>
    <t>Resultat för stallet</t>
  </si>
  <si>
    <t>Vinstmarginal i stallkalkylen</t>
  </si>
  <si>
    <t>Driftkalkyl - Mjölkkor</t>
  </si>
  <si>
    <t>&lt;- Välj djurslag i rullistan</t>
  </si>
  <si>
    <t>kgts</t>
  </si>
  <si>
    <t>Nötkreatursstöd</t>
  </si>
  <si>
    <t>Utslagsko</t>
  </si>
  <si>
    <t>Utrymme för löner</t>
  </si>
  <si>
    <t>Täckningsbidrag per mjölkko</t>
  </si>
  <si>
    <t>Kvant per ko och år</t>
  </si>
  <si>
    <t>Kronor per ko och år</t>
  </si>
  <si>
    <t>Levererad mjölk</t>
  </si>
  <si>
    <t>Livkalv, kviga</t>
  </si>
  <si>
    <t>Livkalv, tjur</t>
  </si>
  <si>
    <t>Kalvfärdig kviga</t>
  </si>
  <si>
    <t>Foderhalm</t>
  </si>
  <si>
    <t>Semin- och kontrollavgift</t>
  </si>
  <si>
    <t>Kraftfoder / Prot.mix</t>
  </si>
  <si>
    <t>Framkörning foder mm</t>
  </si>
  <si>
    <t>Nuvärdet av driftsnetto (exklusive avskrivningar och ränta)</t>
  </si>
  <si>
    <t>SUMMA Investeringsutgift (exklusive utrymmen för visning)</t>
  </si>
  <si>
    <t>TOTAL INVESTERINGSUTGIFT (inklusive utrymmen för visning, utan stöd)</t>
  </si>
  <si>
    <t>Indata till rullista på fliken "Investeringskalkyl" - RADERA EJ</t>
  </si>
  <si>
    <t>Helsäd</t>
  </si>
  <si>
    <t>HP-massa</t>
  </si>
  <si>
    <t>Helmjölk</t>
  </si>
  <si>
    <t>kWh</t>
  </si>
  <si>
    <t>Sara Lundberg</t>
  </si>
  <si>
    <t>Katarina Gran</t>
  </si>
  <si>
    <t>Rebecka Asplund</t>
  </si>
  <si>
    <t>Claes Åkerberg</t>
  </si>
  <si>
    <t>Växa Sverige</t>
  </si>
  <si>
    <t>Mjölkanläggning inkl kyltank</t>
  </si>
  <si>
    <t>Kalvhyddor</t>
  </si>
  <si>
    <t>Kraftfodersilo</t>
  </si>
  <si>
    <t>Minilastare</t>
  </si>
  <si>
    <t>Övriga inventarier</t>
  </si>
  <si>
    <t>Logistiktillägg</t>
  </si>
  <si>
    <t>Mjölkstall med grop</t>
  </si>
  <si>
    <t>Gasutsugsfläkt m trumma</t>
  </si>
  <si>
    <t>Stallbyggnad med foderutrymmen</t>
  </si>
  <si>
    <t>Personalutrymmen och serviceutrymmen</t>
  </si>
  <si>
    <t>Markarbete för byggnader, brunnar, rör, vägar och planer</t>
  </si>
  <si>
    <t>Stallinredning, liggbås inkl montering</t>
  </si>
  <si>
    <t>Gödselbrunnar</t>
  </si>
  <si>
    <t>Antal årskor</t>
  </si>
  <si>
    <t>Strömedel - halm</t>
  </si>
  <si>
    <t>Strömedel - sand</t>
  </si>
  <si>
    <t>Kalvstart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</si>
</sst>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kr&quot;;[Red]\-#,##0\ &quot;kr&quot;"/>
    <numFmt numFmtId="164" formatCode="#,##0\ &quot;kr&quot;"/>
    <numFmt numFmtId="165" formatCode="#,##0.0000"/>
    <numFmt numFmtId="166" formatCode="yy/mm/dd"/>
    <numFmt numFmtId="167" formatCode="#,##0.0"/>
    <numFmt numFmtId="168" formatCode="0.0%"/>
    <numFmt numFmtId="169" formatCode="#,##0\ _k_r"/>
    <numFmt numFmtId="170" formatCode="#,##0.00\ _k_r"/>
    <numFmt numFmtId="171" formatCode="#,##0_k_r"/>
    <numFmt numFmtId="172" formatCode="#,##0_ ;[Red]\-#,##0\ "/>
    <numFmt numFmtId="173" formatCode="#,##0.000\ _k_r"/>
    <numFmt numFmtId="174" formatCode="#,##0.0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22"/>
      <color theme="1"/>
      <name val="Cambria"/>
      <family val="1"/>
    </font>
    <font>
      <sz val="11"/>
      <color theme="1"/>
      <name val="Cambria"/>
      <family val="1"/>
    </font>
    <font>
      <sz val="11"/>
      <name val="Cambria"/>
      <family val="1"/>
    </font>
    <font>
      <sz val="11"/>
      <color rgb="FFFF0000"/>
      <name val="Cambria"/>
      <family val="1"/>
    </font>
    <font>
      <b/>
      <i/>
      <sz val="11"/>
      <color theme="1"/>
      <name val="Cambria"/>
      <family val="1"/>
    </font>
    <font>
      <i/>
      <sz val="11"/>
      <color theme="1"/>
      <name val="Cambria"/>
      <family val="1"/>
    </font>
    <font>
      <b/>
      <sz val="12"/>
      <color theme="1"/>
      <name val="Cambria"/>
      <family val="1"/>
    </font>
    <font>
      <b/>
      <i/>
      <sz val="12"/>
      <color theme="1"/>
      <name val="Cambria"/>
      <family val="1"/>
    </font>
    <font>
      <b/>
      <sz val="11"/>
      <color theme="1"/>
      <name val="Cambria"/>
      <family val="1"/>
    </font>
    <font>
      <b/>
      <sz val="11"/>
      <name val="Cambria"/>
      <family val="1"/>
    </font>
    <font>
      <b/>
      <i/>
      <sz val="11"/>
      <name val="Cambria"/>
      <family val="1"/>
    </font>
    <font>
      <i/>
      <sz val="11"/>
      <name val="Cambria"/>
      <family val="1"/>
    </font>
    <font>
      <sz val="9"/>
      <color indexed="81"/>
      <name val="Tahoma"/>
      <family val="2"/>
    </font>
    <font>
      <sz val="10"/>
      <name val="Verdana"/>
      <family val="2"/>
    </font>
    <font>
      <sz val="14"/>
      <name val="Cambria"/>
      <family val="1"/>
    </font>
    <font>
      <b/>
      <sz val="14"/>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s>
  <borders count="24">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s>
  <cellStyleXfs count="3">
    <xf numFmtId="0" fontId="0" fillId="0" borderId="0"/>
    <xf numFmtId="9" fontId="1" fillId="0" borderId="0" applyFont="0" applyFill="0" applyBorder="0" applyAlignment="0" applyProtection="0"/>
    <xf numFmtId="0" fontId="16" fillId="0" borderId="0"/>
  </cellStyleXfs>
  <cellXfs count="206">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7" fillId="4" borderId="2" xfId="0" applyFont="1" applyFill="1" applyBorder="1"/>
    <xf numFmtId="0" fontId="7" fillId="4" borderId="3" xfId="0" applyFont="1" applyFill="1" applyBorder="1"/>
    <xf numFmtId="0" fontId="4" fillId="4" borderId="3" xfId="0" applyFont="1" applyFill="1" applyBorder="1"/>
    <xf numFmtId="0" fontId="4" fillId="4" borderId="4" xfId="0" applyFont="1" applyFill="1" applyBorder="1"/>
    <xf numFmtId="0" fontId="4" fillId="0" borderId="0" xfId="0" applyFont="1" applyBorder="1"/>
    <xf numFmtId="0" fontId="4" fillId="0" borderId="5" xfId="0" applyFont="1" applyBorder="1" applyAlignment="1">
      <alignment wrapText="1"/>
    </xf>
    <xf numFmtId="0" fontId="4" fillId="0" borderId="0" xfId="0" applyFont="1" applyBorder="1" applyAlignment="1">
      <alignment wrapText="1"/>
    </xf>
    <xf numFmtId="0" fontId="4" fillId="0" borderId="6" xfId="0" applyFont="1" applyBorder="1"/>
    <xf numFmtId="0" fontId="8" fillId="0" borderId="0" xfId="0" applyFont="1" applyBorder="1"/>
    <xf numFmtId="0" fontId="4" fillId="0" borderId="5" xfId="0" applyFont="1" applyBorder="1"/>
    <xf numFmtId="0" fontId="4" fillId="0" borderId="7" xfId="0" applyFont="1" applyBorder="1" applyAlignment="1">
      <alignment wrapText="1"/>
    </xf>
    <xf numFmtId="0" fontId="4" fillId="0" borderId="8" xfId="0" applyFont="1" applyBorder="1"/>
    <xf numFmtId="0" fontId="9" fillId="0" borderId="0" xfId="0" applyFont="1"/>
    <xf numFmtId="0" fontId="7" fillId="0" borderId="5" xfId="0" applyFont="1" applyBorder="1"/>
    <xf numFmtId="0" fontId="8" fillId="0" borderId="0" xfId="0" applyFont="1" applyBorder="1" applyAlignment="1">
      <alignment horizontal="center"/>
    </xf>
    <xf numFmtId="0" fontId="8" fillId="0" borderId="18" xfId="0" applyFont="1" applyBorder="1"/>
    <xf numFmtId="0" fontId="8" fillId="0" borderId="19" xfId="0" applyFont="1" applyBorder="1" applyAlignment="1">
      <alignment horizontal="center"/>
    </xf>
    <xf numFmtId="0" fontId="8" fillId="0" borderId="19" xfId="0" applyFont="1" applyBorder="1"/>
    <xf numFmtId="164" fontId="8" fillId="0" borderId="19" xfId="0" applyNumberFormat="1" applyFont="1" applyBorder="1"/>
    <xf numFmtId="0" fontId="7" fillId="0" borderId="12" xfId="0" applyFont="1" applyBorder="1"/>
    <xf numFmtId="0" fontId="8" fillId="0" borderId="13" xfId="0" applyFont="1" applyBorder="1" applyAlignment="1">
      <alignment horizontal="center"/>
    </xf>
    <xf numFmtId="0" fontId="11" fillId="0" borderId="12" xfId="0" applyFont="1" applyBorder="1"/>
    <xf numFmtId="0" fontId="11" fillId="0" borderId="13" xfId="0" applyFont="1" applyBorder="1"/>
    <xf numFmtId="164" fontId="11" fillId="0" borderId="13" xfId="0" applyNumberFormat="1" applyFont="1" applyBorder="1"/>
    <xf numFmtId="0" fontId="11" fillId="0" borderId="5" xfId="0" applyFont="1" applyBorder="1"/>
    <xf numFmtId="0" fontId="11" fillId="0" borderId="0" xfId="0" applyFont="1" applyBorder="1"/>
    <xf numFmtId="164" fontId="11" fillId="0" borderId="0" xfId="0" applyNumberFormat="1" applyFont="1" applyBorder="1"/>
    <xf numFmtId="0" fontId="4" fillId="5" borderId="12" xfId="0" applyFont="1" applyFill="1" applyBorder="1"/>
    <xf numFmtId="0" fontId="4" fillId="0" borderId="15" xfId="0" applyFont="1" applyBorder="1"/>
    <xf numFmtId="0" fontId="8" fillId="0" borderId="16" xfId="0" applyFont="1" applyBorder="1" applyAlignment="1">
      <alignment horizontal="center"/>
    </xf>
    <xf numFmtId="0" fontId="4" fillId="0" borderId="16" xfId="0" applyFont="1" applyBorder="1"/>
    <xf numFmtId="0" fontId="5" fillId="0" borderId="0" xfId="0" applyFont="1" applyBorder="1" applyAlignment="1" applyProtection="1">
      <alignment horizontal="right"/>
      <protection locked="0"/>
    </xf>
    <xf numFmtId="167" fontId="5" fillId="0" borderId="0" xfId="0" applyNumberFormat="1" applyFont="1" applyFill="1" applyBorder="1" applyProtection="1">
      <protection locked="0"/>
    </xf>
    <xf numFmtId="4" fontId="5" fillId="0" borderId="0" xfId="0" applyNumberFormat="1" applyFont="1" applyFill="1" applyBorder="1" applyProtection="1">
      <protection locked="0"/>
    </xf>
    <xf numFmtId="3" fontId="5" fillId="0" borderId="0" xfId="0" applyNumberFormat="1" applyFont="1" applyFill="1" applyBorder="1" applyProtection="1">
      <protection locked="0"/>
    </xf>
    <xf numFmtId="0" fontId="5" fillId="0" borderId="0" xfId="0" applyFont="1" applyFill="1" applyBorder="1" applyAlignment="1" applyProtection="1">
      <alignment horizontal="right"/>
      <protection locked="0"/>
    </xf>
    <xf numFmtId="0" fontId="14" fillId="0" borderId="0" xfId="0" applyFont="1" applyBorder="1" applyAlignment="1" applyProtection="1">
      <alignment horizontal="center"/>
      <protection locked="0"/>
    </xf>
    <xf numFmtId="0" fontId="11" fillId="0" borderId="7" xfId="0" applyFont="1" applyBorder="1"/>
    <xf numFmtId="0" fontId="8" fillId="0" borderId="1" xfId="0" applyFont="1" applyBorder="1" applyAlignment="1">
      <alignment horizontal="center"/>
    </xf>
    <xf numFmtId="0" fontId="11" fillId="0" borderId="1" xfId="0" applyFont="1" applyBorder="1"/>
    <xf numFmtId="164" fontId="11" fillId="0" borderId="1" xfId="0" applyNumberFormat="1" applyFont="1" applyBorder="1"/>
    <xf numFmtId="0" fontId="4" fillId="0" borderId="1" xfId="0" applyFont="1" applyBorder="1"/>
    <xf numFmtId="0" fontId="5" fillId="0" borderId="0" xfId="0" applyFont="1" applyBorder="1" applyAlignment="1" applyProtection="1">
      <alignment horizontal="center"/>
      <protection locked="0"/>
    </xf>
    <xf numFmtId="170" fontId="5" fillId="0" borderId="0" xfId="1" applyNumberFormat="1" applyFont="1" applyFill="1" applyBorder="1" applyProtection="1">
      <protection locked="0"/>
    </xf>
    <xf numFmtId="170" fontId="5" fillId="0" borderId="0" xfId="0" applyNumberFormat="1" applyFont="1" applyBorder="1" applyProtection="1">
      <protection locked="0"/>
    </xf>
    <xf numFmtId="170" fontId="5" fillId="0" borderId="0" xfId="0" applyNumberFormat="1" applyFont="1" applyFill="1" applyBorder="1" applyProtection="1">
      <protection locked="0"/>
    </xf>
    <xf numFmtId="6" fontId="13" fillId="3" borderId="19" xfId="0" applyNumberFormat="1" applyFont="1" applyFill="1" applyBorder="1" applyProtection="1"/>
    <xf numFmtId="0" fontId="16" fillId="0" borderId="0" xfId="2" applyAlignment="1">
      <alignment wrapText="1"/>
    </xf>
    <xf numFmtId="0" fontId="16" fillId="0" borderId="0" xfId="2"/>
    <xf numFmtId="0" fontId="16" fillId="0" borderId="0" xfId="2" applyFont="1" applyFill="1" applyBorder="1"/>
    <xf numFmtId="0" fontId="11" fillId="0" borderId="18" xfId="0" applyFont="1" applyBorder="1"/>
    <xf numFmtId="0" fontId="11" fillId="0" borderId="19" xfId="0" applyFont="1" applyBorder="1"/>
    <xf numFmtId="164" fontId="11" fillId="0" borderId="19" xfId="0" applyNumberFormat="1" applyFont="1" applyBorder="1"/>
    <xf numFmtId="0" fontId="5" fillId="0" borderId="5" xfId="2" applyFont="1" applyFill="1" applyBorder="1" applyAlignment="1">
      <alignment wrapText="1"/>
    </xf>
    <xf numFmtId="0" fontId="5" fillId="0" borderId="6" xfId="2" applyFont="1" applyFill="1" applyBorder="1"/>
    <xf numFmtId="171" fontId="5" fillId="0" borderId="0" xfId="2" applyNumberFormat="1" applyFont="1" applyFill="1" applyBorder="1" applyProtection="1">
      <protection locked="0"/>
    </xf>
    <xf numFmtId="0" fontId="5" fillId="0" borderId="0" xfId="2" applyFont="1" applyFill="1" applyBorder="1"/>
    <xf numFmtId="0" fontId="5" fillId="0" borderId="0" xfId="0" applyFont="1" applyBorder="1" applyAlignment="1" applyProtection="1">
      <alignment wrapText="1"/>
      <protection locked="0"/>
    </xf>
    <xf numFmtId="0" fontId="5" fillId="0" borderId="0" xfId="2" applyFont="1" applyFill="1" applyBorder="1" applyAlignment="1" applyProtection="1">
      <alignment horizontal="right"/>
      <protection locked="0"/>
    </xf>
    <xf numFmtId="0" fontId="5" fillId="0" borderId="0" xfId="2" applyFont="1" applyFill="1" applyBorder="1" applyAlignment="1">
      <alignment wrapText="1"/>
    </xf>
    <xf numFmtId="0" fontId="8" fillId="0" borderId="20" xfId="0" applyFont="1" applyBorder="1"/>
    <xf numFmtId="0" fontId="13" fillId="0" borderId="15" xfId="2" applyFont="1" applyFill="1" applyBorder="1" applyAlignment="1">
      <alignment wrapText="1"/>
    </xf>
    <xf numFmtId="0" fontId="13" fillId="0" borderId="17" xfId="2" applyFont="1" applyFill="1" applyBorder="1"/>
    <xf numFmtId="0" fontId="9" fillId="4" borderId="5" xfId="0" applyFont="1" applyFill="1" applyBorder="1"/>
    <xf numFmtId="0" fontId="10" fillId="4" borderId="0" xfId="0" applyFont="1" applyFill="1" applyBorder="1" applyAlignment="1">
      <alignment horizontal="center"/>
    </xf>
    <xf numFmtId="0" fontId="9" fillId="4" borderId="0" xfId="0" applyFont="1" applyFill="1" applyBorder="1"/>
    <xf numFmtId="0" fontId="9" fillId="4" borderId="6" xfId="0" applyFont="1" applyFill="1" applyBorder="1"/>
    <xf numFmtId="0" fontId="9" fillId="4" borderId="23" xfId="0" applyFont="1" applyFill="1" applyBorder="1"/>
    <xf numFmtId="0" fontId="4" fillId="4" borderId="21" xfId="0" applyFont="1" applyFill="1" applyBorder="1"/>
    <xf numFmtId="0" fontId="4" fillId="4" borderId="22" xfId="0" applyFont="1" applyFill="1" applyBorder="1"/>
    <xf numFmtId="0" fontId="12" fillId="4" borderId="23" xfId="2" applyFont="1" applyFill="1" applyBorder="1" applyAlignment="1">
      <alignment wrapText="1"/>
    </xf>
    <xf numFmtId="0" fontId="12" fillId="4" borderId="21" xfId="2" applyFont="1" applyFill="1" applyBorder="1" applyAlignment="1">
      <alignment horizontal="left" wrapText="1"/>
    </xf>
    <xf numFmtId="0" fontId="12" fillId="4" borderId="22" xfId="2" applyFont="1" applyFill="1" applyBorder="1" applyAlignment="1">
      <alignment wrapText="1"/>
    </xf>
    <xf numFmtId="0" fontId="7" fillId="4" borderId="7" xfId="0" applyFont="1" applyFill="1" applyBorder="1"/>
    <xf numFmtId="0" fontId="7" fillId="4" borderId="1" xfId="0" applyFont="1" applyFill="1" applyBorder="1"/>
    <xf numFmtId="0" fontId="4" fillId="4" borderId="8" xfId="0" applyFont="1" applyFill="1" applyBorder="1"/>
    <xf numFmtId="164" fontId="4" fillId="0" borderId="6" xfId="0" applyNumberFormat="1" applyFont="1" applyFill="1" applyBorder="1"/>
    <xf numFmtId="164" fontId="4" fillId="0" borderId="14" xfId="0" applyNumberFormat="1" applyFont="1" applyFill="1" applyBorder="1"/>
    <xf numFmtId="6" fontId="5" fillId="3" borderId="6" xfId="0" applyNumberFormat="1" applyFont="1" applyFill="1" applyBorder="1" applyProtection="1"/>
    <xf numFmtId="6" fontId="5" fillId="3" borderId="11" xfId="0" applyNumberFormat="1" applyFont="1" applyFill="1" applyBorder="1" applyProtection="1"/>
    <xf numFmtId="171" fontId="5" fillId="0" borderId="0" xfId="2" applyNumberFormat="1" applyFont="1" applyFill="1" applyBorder="1" applyAlignment="1">
      <alignment wrapText="1"/>
    </xf>
    <xf numFmtId="38" fontId="4" fillId="0" borderId="0" xfId="0" applyNumberFormat="1" applyFont="1"/>
    <xf numFmtId="6" fontId="4" fillId="0" borderId="0" xfId="0" applyNumberFormat="1" applyFont="1"/>
    <xf numFmtId="0" fontId="17" fillId="0" borderId="0" xfId="0" applyFont="1"/>
    <xf numFmtId="168" fontId="5" fillId="3" borderId="0" xfId="2" applyNumberFormat="1" applyFont="1" applyFill="1" applyBorder="1" applyAlignment="1" applyProtection="1">
      <alignment horizontal="right"/>
    </xf>
    <xf numFmtId="164" fontId="4" fillId="3" borderId="6" xfId="0" applyNumberFormat="1" applyFont="1" applyFill="1" applyBorder="1" applyProtection="1"/>
    <xf numFmtId="164" fontId="8" fillId="3" borderId="20" xfId="0" applyNumberFormat="1" applyFont="1" applyFill="1" applyBorder="1" applyProtection="1"/>
    <xf numFmtId="164" fontId="11" fillId="3" borderId="14" xfId="0" applyNumberFormat="1" applyFont="1" applyFill="1" applyBorder="1" applyProtection="1"/>
    <xf numFmtId="164" fontId="11" fillId="3" borderId="8" xfId="0" applyNumberFormat="1" applyFont="1" applyFill="1" applyBorder="1" applyProtection="1"/>
    <xf numFmtId="164" fontId="11" fillId="3" borderId="20" xfId="0" applyNumberFormat="1" applyFont="1" applyFill="1" applyBorder="1" applyProtection="1"/>
    <xf numFmtId="164" fontId="11" fillId="3" borderId="6" xfId="0" applyNumberFormat="1" applyFont="1" applyFill="1" applyBorder="1" applyProtection="1"/>
    <xf numFmtId="164" fontId="4" fillId="3" borderId="17" xfId="0" applyNumberFormat="1" applyFont="1" applyFill="1" applyBorder="1" applyProtection="1"/>
    <xf numFmtId="9" fontId="4" fillId="2" borderId="0" xfId="0" applyNumberFormat="1" applyFont="1" applyFill="1" applyBorder="1" applyProtection="1"/>
    <xf numFmtId="172" fontId="13" fillId="3" borderId="1" xfId="2" applyNumberFormat="1" applyFont="1" applyFill="1" applyBorder="1" applyAlignment="1" applyProtection="1">
      <alignment horizontal="right"/>
    </xf>
    <xf numFmtId="172" fontId="13" fillId="3" borderId="10" xfId="2" applyNumberFormat="1" applyFont="1" applyFill="1" applyBorder="1" applyAlignment="1" applyProtection="1">
      <alignment horizontal="right"/>
    </xf>
    <xf numFmtId="3" fontId="8" fillId="3" borderId="16" xfId="0" applyNumberFormat="1" applyFont="1" applyFill="1" applyBorder="1" applyProtection="1"/>
    <xf numFmtId="0" fontId="4" fillId="0" borderId="5"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0" xfId="0" applyFont="1" applyFill="1" applyBorder="1" applyProtection="1">
      <protection locked="0"/>
    </xf>
    <xf numFmtId="0" fontId="4" fillId="0" borderId="6" xfId="0" applyFont="1" applyBorder="1" applyProtection="1">
      <protection locked="0"/>
    </xf>
    <xf numFmtId="0" fontId="4" fillId="0" borderId="11" xfId="0" applyFont="1" applyBorder="1" applyProtection="1">
      <protection locked="0"/>
    </xf>
    <xf numFmtId="0" fontId="4" fillId="0" borderId="0" xfId="0" applyFont="1" applyBorder="1" applyAlignment="1" applyProtection="1">
      <alignment horizontal="right" wrapText="1"/>
      <protection locked="0"/>
    </xf>
    <xf numFmtId="0" fontId="4" fillId="0" borderId="0" xfId="0" applyFont="1" applyFill="1" applyBorder="1" applyAlignment="1" applyProtection="1">
      <alignment horizontal="right"/>
      <protection locked="0"/>
    </xf>
    <xf numFmtId="0" fontId="4" fillId="0" borderId="1" xfId="0" applyFont="1" applyFill="1" applyBorder="1" applyAlignment="1" applyProtection="1">
      <alignment horizontal="right"/>
      <protection locked="0"/>
    </xf>
    <xf numFmtId="0" fontId="8" fillId="0" borderId="0" xfId="0" applyFont="1" applyBorder="1" applyAlignment="1" applyProtection="1">
      <alignment horizontal="center"/>
      <protection locked="0"/>
    </xf>
    <xf numFmtId="0" fontId="4" fillId="0" borderId="0" xfId="0" applyFont="1" applyBorder="1" applyProtection="1">
      <protection locked="0"/>
    </xf>
    <xf numFmtId="164" fontId="4" fillId="0" borderId="0" xfId="0" applyNumberFormat="1" applyFont="1" applyBorder="1" applyProtection="1">
      <protection locked="0"/>
    </xf>
    <xf numFmtId="0" fontId="8" fillId="0" borderId="19" xfId="0" applyFont="1" applyBorder="1" applyAlignment="1" applyProtection="1">
      <alignment horizontal="center"/>
      <protection locked="0"/>
    </xf>
    <xf numFmtId="0" fontId="8" fillId="0" borderId="19" xfId="0" applyFont="1" applyBorder="1" applyProtection="1">
      <protection locked="0"/>
    </xf>
    <xf numFmtId="164" fontId="8" fillId="0" borderId="19" xfId="0" applyNumberFormat="1" applyFont="1" applyBorder="1" applyProtection="1">
      <protection locked="0"/>
    </xf>
    <xf numFmtId="0" fontId="8" fillId="0" borderId="13" xfId="0" applyFont="1" applyBorder="1" applyAlignment="1" applyProtection="1">
      <alignment horizontal="center"/>
      <protection locked="0"/>
    </xf>
    <xf numFmtId="0" fontId="4" fillId="0" borderId="13" xfId="0" applyFont="1" applyBorder="1" applyProtection="1">
      <protection locked="0"/>
    </xf>
    <xf numFmtId="164" fontId="4" fillId="0" borderId="13" xfId="0" applyNumberFormat="1" applyFont="1" applyBorder="1" applyProtection="1">
      <protection locked="0"/>
    </xf>
    <xf numFmtId="0" fontId="14" fillId="0" borderId="0" xfId="0" applyFont="1" applyBorder="1" applyAlignment="1" applyProtection="1">
      <alignment horizontal="center"/>
    </xf>
    <xf numFmtId="0" fontId="5" fillId="0" borderId="0" xfId="0" applyFont="1" applyBorder="1" applyAlignment="1" applyProtection="1">
      <alignment horizontal="right"/>
    </xf>
    <xf numFmtId="0" fontId="5" fillId="0" borderId="0" xfId="0" applyFont="1" applyFill="1" applyBorder="1" applyAlignment="1" applyProtection="1">
      <alignment horizontal="right"/>
    </xf>
    <xf numFmtId="0" fontId="5" fillId="0" borderId="0" xfId="0" applyFont="1" applyBorder="1" applyAlignment="1" applyProtection="1">
      <alignment wrapText="1"/>
    </xf>
    <xf numFmtId="3" fontId="5" fillId="0" borderId="0" xfId="0" applyNumberFormat="1" applyFont="1" applyFill="1" applyBorder="1" applyProtection="1"/>
    <xf numFmtId="0" fontId="5" fillId="0" borderId="9" xfId="0" applyFont="1" applyBorder="1" applyAlignment="1" applyProtection="1">
      <alignment horizontal="left" wrapText="1"/>
    </xf>
    <xf numFmtId="0" fontId="4" fillId="0" borderId="5" xfId="0" applyFont="1" applyBorder="1" applyAlignment="1" applyProtection="1">
      <alignment wrapText="1"/>
    </xf>
    <xf numFmtId="0" fontId="4" fillId="0" borderId="9" xfId="0" applyFont="1" applyBorder="1" applyAlignment="1" applyProtection="1">
      <alignment wrapText="1"/>
    </xf>
    <xf numFmtId="6" fontId="4" fillId="3" borderId="11" xfId="0" applyNumberFormat="1" applyFont="1" applyFill="1" applyBorder="1" applyProtection="1"/>
    <xf numFmtId="0" fontId="5" fillId="0" borderId="5" xfId="0" applyFont="1" applyBorder="1" applyAlignment="1" applyProtection="1">
      <alignment horizontal="left" wrapText="1"/>
    </xf>
    <xf numFmtId="169" fontId="5" fillId="3" borderId="0" xfId="0" applyNumberFormat="1" applyFont="1" applyFill="1" applyBorder="1" applyProtection="1"/>
    <xf numFmtId="164" fontId="13" fillId="3" borderId="19" xfId="0" applyNumberFormat="1" applyFont="1" applyFill="1" applyBorder="1" applyProtection="1"/>
    <xf numFmtId="38" fontId="5" fillId="0" borderId="0" xfId="0" applyNumberFormat="1" applyFont="1" applyFill="1" applyBorder="1" applyProtection="1"/>
    <xf numFmtId="168" fontId="5" fillId="2" borderId="0" xfId="1" applyNumberFormat="1" applyFont="1" applyFill="1" applyBorder="1" applyProtection="1"/>
    <xf numFmtId="3" fontId="5" fillId="3" borderId="0" xfId="0" applyNumberFormat="1" applyFont="1" applyFill="1" applyBorder="1" applyProtection="1"/>
    <xf numFmtId="170" fontId="5" fillId="3" borderId="0" xfId="0" applyNumberFormat="1" applyFont="1" applyFill="1" applyBorder="1" applyProtection="1"/>
    <xf numFmtId="164" fontId="12" fillId="4" borderId="4" xfId="0" applyNumberFormat="1" applyFont="1" applyFill="1" applyBorder="1" applyAlignment="1" applyProtection="1">
      <alignment horizontal="left"/>
    </xf>
    <xf numFmtId="3" fontId="4" fillId="0" borderId="0" xfId="0" applyNumberFormat="1" applyFont="1" applyBorder="1" applyProtection="1"/>
    <xf numFmtId="3" fontId="5" fillId="0" borderId="0" xfId="0" applyNumberFormat="1" applyFont="1" applyBorder="1" applyAlignment="1" applyProtection="1">
      <alignment horizontal="right"/>
    </xf>
    <xf numFmtId="0" fontId="5" fillId="0" borderId="0" xfId="0" applyFont="1" applyBorder="1" applyProtection="1"/>
    <xf numFmtId="0" fontId="4" fillId="0" borderId="0" xfId="0" applyFont="1" applyProtection="1"/>
    <xf numFmtId="3" fontId="5" fillId="0" borderId="0" xfId="0" applyNumberFormat="1" applyFont="1" applyBorder="1" applyProtection="1"/>
    <xf numFmtId="0" fontId="5" fillId="0" borderId="0" xfId="0" applyFont="1" applyProtection="1"/>
    <xf numFmtId="165" fontId="5" fillId="0" borderId="0" xfId="0" applyNumberFormat="1" applyFont="1" applyFill="1" applyBorder="1" applyProtection="1"/>
    <xf numFmtId="165" fontId="5" fillId="0" borderId="0" xfId="0" applyNumberFormat="1" applyFont="1" applyBorder="1" applyProtection="1"/>
    <xf numFmtId="0" fontId="5" fillId="0" borderId="1" xfId="0" applyFont="1" applyBorder="1" applyAlignment="1" applyProtection="1">
      <alignment wrapText="1"/>
    </xf>
    <xf numFmtId="0" fontId="5" fillId="0" borderId="1" xfId="0" applyFont="1" applyBorder="1" applyAlignment="1" applyProtection="1">
      <alignment horizontal="right"/>
    </xf>
    <xf numFmtId="3" fontId="5" fillId="0" borderId="1" xfId="0" applyNumberFormat="1" applyFont="1" applyBorder="1" applyAlignment="1" applyProtection="1">
      <alignment horizontal="center"/>
    </xf>
    <xf numFmtId="0" fontId="3" fillId="0" borderId="0" xfId="0" applyFont="1" applyProtection="1"/>
    <xf numFmtId="0" fontId="11" fillId="4" borderId="2" xfId="0" applyFont="1" applyFill="1" applyBorder="1" applyAlignment="1" applyProtection="1">
      <alignment wrapText="1"/>
    </xf>
    <xf numFmtId="0" fontId="4" fillId="4" borderId="3" xfId="0" applyFont="1" applyFill="1" applyBorder="1" applyProtection="1"/>
    <xf numFmtId="0" fontId="4" fillId="4" borderId="4" xfId="0" applyFont="1" applyFill="1" applyBorder="1" applyProtection="1"/>
    <xf numFmtId="0" fontId="4" fillId="3" borderId="0" xfId="0" applyFont="1" applyFill="1" applyBorder="1" applyProtection="1"/>
    <xf numFmtId="0" fontId="4" fillId="0" borderId="6" xfId="0" applyFont="1" applyBorder="1" applyProtection="1"/>
    <xf numFmtId="0" fontId="4" fillId="0" borderId="0" xfId="0" applyFont="1" applyBorder="1" applyProtection="1"/>
    <xf numFmtId="0" fontId="4" fillId="0" borderId="3" xfId="0" applyFont="1" applyBorder="1" applyAlignment="1" applyProtection="1">
      <alignment wrapText="1"/>
    </xf>
    <xf numFmtId="0" fontId="4" fillId="0" borderId="3" xfId="0" applyFont="1" applyFill="1" applyBorder="1" applyProtection="1"/>
    <xf numFmtId="0" fontId="4" fillId="0" borderId="3" xfId="0" applyFont="1" applyBorder="1" applyProtection="1"/>
    <xf numFmtId="0" fontId="12" fillId="4" borderId="19" xfId="0" applyFont="1" applyFill="1" applyBorder="1" applyAlignment="1" applyProtection="1">
      <alignment horizontal="left" wrapText="1"/>
    </xf>
    <xf numFmtId="0" fontId="13" fillId="4" borderId="19" xfId="0" applyFont="1" applyFill="1" applyBorder="1" applyAlignment="1" applyProtection="1">
      <alignment horizontal="center" wrapText="1"/>
    </xf>
    <xf numFmtId="3" fontId="12" fillId="4" borderId="1" xfId="0" applyNumberFormat="1" applyFont="1" applyFill="1" applyBorder="1" applyAlignment="1" applyProtection="1">
      <alignment horizontal="center" wrapText="1"/>
    </xf>
    <xf numFmtId="0" fontId="12" fillId="4" borderId="19" xfId="0" applyFont="1" applyFill="1" applyBorder="1" applyAlignment="1" applyProtection="1">
      <alignment horizontal="center" wrapText="1"/>
    </xf>
    <xf numFmtId="166" fontId="5" fillId="0" borderId="0" xfId="0" applyNumberFormat="1" applyFont="1" applyFill="1" applyBorder="1" applyProtection="1"/>
    <xf numFmtId="0" fontId="13" fillId="0" borderId="19" xfId="0" applyFont="1" applyBorder="1" applyAlignment="1" applyProtection="1">
      <alignment horizontal="left" wrapText="1"/>
    </xf>
    <xf numFmtId="0" fontId="14" fillId="0" borderId="19" xfId="0" applyFont="1" applyBorder="1" applyAlignment="1" applyProtection="1">
      <alignment horizontal="center"/>
    </xf>
    <xf numFmtId="0" fontId="14" fillId="0" borderId="19" xfId="0" applyFont="1" applyBorder="1" applyProtection="1"/>
    <xf numFmtId="0" fontId="14" fillId="0" borderId="19" xfId="0" applyFont="1" applyBorder="1" applyAlignment="1" applyProtection="1">
      <alignment horizontal="right"/>
    </xf>
    <xf numFmtId="2" fontId="14" fillId="0" borderId="19" xfId="0" applyNumberFormat="1" applyFont="1" applyBorder="1" applyProtection="1"/>
    <xf numFmtId="0" fontId="13" fillId="0" borderId="0" xfId="0" applyFont="1" applyBorder="1" applyAlignment="1" applyProtection="1">
      <alignment horizontal="left" wrapText="1"/>
    </xf>
    <xf numFmtId="3" fontId="5" fillId="0" borderId="1" xfId="0" applyNumberFormat="1" applyFont="1" applyBorder="1" applyProtection="1"/>
    <xf numFmtId="2" fontId="5" fillId="0" borderId="1" xfId="0" applyNumberFormat="1" applyFont="1" applyBorder="1" applyProtection="1"/>
    <xf numFmtId="3" fontId="13" fillId="0" borderId="1" xfId="0" applyNumberFormat="1" applyFont="1" applyBorder="1" applyProtection="1"/>
    <xf numFmtId="0" fontId="13" fillId="0" borderId="19" xfId="0" applyFont="1" applyBorder="1" applyAlignment="1" applyProtection="1">
      <alignment wrapText="1"/>
    </xf>
    <xf numFmtId="0" fontId="13" fillId="0" borderId="19" xfId="0" applyFont="1" applyBorder="1" applyAlignment="1" applyProtection="1">
      <alignment horizontal="right"/>
    </xf>
    <xf numFmtId="0" fontId="13" fillId="0" borderId="19" xfId="0" applyFont="1" applyBorder="1" applyProtection="1"/>
    <xf numFmtId="4" fontId="13" fillId="0" borderId="19" xfId="0" applyNumberFormat="1" applyFont="1" applyFill="1" applyBorder="1" applyProtection="1"/>
    <xf numFmtId="0" fontId="14" fillId="0" borderId="0" xfId="0" quotePrefix="1" applyFont="1" applyBorder="1" applyAlignment="1" applyProtection="1">
      <alignment horizontal="center"/>
    </xf>
    <xf numFmtId="0" fontId="12" fillId="0" borderId="19" xfId="0" applyFont="1" applyBorder="1" applyAlignment="1" applyProtection="1">
      <alignment wrapText="1"/>
    </xf>
    <xf numFmtId="3" fontId="13" fillId="0" borderId="19" xfId="0" applyNumberFormat="1" applyFont="1" applyFill="1" applyBorder="1" applyProtection="1"/>
    <xf numFmtId="0" fontId="5" fillId="0" borderId="19" xfId="0" applyFont="1" applyBorder="1" applyAlignment="1" applyProtection="1">
      <alignment wrapText="1"/>
    </xf>
    <xf numFmtId="2" fontId="13" fillId="0" borderId="19" xfId="0" applyNumberFormat="1" applyFont="1" applyBorder="1" applyProtection="1"/>
    <xf numFmtId="0" fontId="5" fillId="0" borderId="0" xfId="0" applyFont="1" applyAlignment="1" applyProtection="1">
      <alignment wrapText="1"/>
    </xf>
    <xf numFmtId="2" fontId="5" fillId="0" borderId="0" xfId="0" applyNumberFormat="1" applyFont="1" applyBorder="1" applyProtection="1"/>
    <xf numFmtId="169" fontId="5" fillId="0" borderId="0" xfId="0" applyNumberFormat="1" applyFont="1" applyBorder="1" applyProtection="1"/>
    <xf numFmtId="2" fontId="5" fillId="0" borderId="0" xfId="0" applyNumberFormat="1" applyFont="1" applyFill="1" applyBorder="1" applyProtection="1"/>
    <xf numFmtId="2" fontId="5" fillId="0" borderId="0" xfId="0" applyNumberFormat="1" applyFont="1" applyFill="1" applyBorder="1" applyAlignment="1" applyProtection="1">
      <alignment horizontal="right"/>
    </xf>
    <xf numFmtId="164" fontId="4" fillId="0" borderId="0" xfId="0" applyNumberFormat="1" applyFont="1" applyProtection="1"/>
    <xf numFmtId="0" fontId="5" fillId="0" borderId="6" xfId="0" applyFont="1" applyBorder="1" applyAlignment="1" applyProtection="1">
      <alignment horizontal="left"/>
      <protection locked="0"/>
    </xf>
    <xf numFmtId="10" fontId="5" fillId="2" borderId="0" xfId="2" applyNumberFormat="1" applyFont="1" applyFill="1" applyBorder="1" applyAlignment="1" applyProtection="1">
      <alignment horizontal="right"/>
    </xf>
    <xf numFmtId="0" fontId="8" fillId="5" borderId="13" xfId="0" applyFont="1" applyFill="1" applyBorder="1" applyAlignment="1" applyProtection="1">
      <alignment horizontal="center"/>
      <protection locked="0"/>
    </xf>
    <xf numFmtId="0" fontId="4" fillId="5" borderId="13" xfId="0" applyFont="1" applyFill="1" applyBorder="1" applyProtection="1">
      <protection locked="0"/>
    </xf>
    <xf numFmtId="164" fontId="4" fillId="5" borderId="13" xfId="0" applyNumberFormat="1" applyFont="1" applyFill="1" applyBorder="1" applyProtection="1">
      <protection locked="0"/>
    </xf>
    <xf numFmtId="164" fontId="4" fillId="5" borderId="20" xfId="0" applyNumberFormat="1" applyFont="1" applyFill="1" applyBorder="1" applyProtection="1">
      <protection locked="0"/>
    </xf>
    <xf numFmtId="0" fontId="12" fillId="4" borderId="4" xfId="0" applyFont="1" applyFill="1" applyBorder="1" applyAlignment="1" applyProtection="1">
      <alignment horizontal="left"/>
    </xf>
    <xf numFmtId="0" fontId="12" fillId="4" borderId="2" xfId="0" applyFont="1" applyFill="1" applyBorder="1" applyAlignment="1" applyProtection="1">
      <alignment horizontal="left" wrapText="1"/>
    </xf>
    <xf numFmtId="168" fontId="5" fillId="0" borderId="0" xfId="1" applyNumberFormat="1" applyFont="1" applyFill="1" applyBorder="1" applyProtection="1"/>
    <xf numFmtId="164" fontId="5" fillId="0" borderId="0" xfId="0" applyNumberFormat="1" applyFont="1" applyFill="1" applyBorder="1" applyProtection="1"/>
    <xf numFmtId="169" fontId="5" fillId="0" borderId="0" xfId="0" applyNumberFormat="1" applyFont="1" applyFill="1" applyBorder="1" applyProtection="1">
      <protection locked="0"/>
    </xf>
    <xf numFmtId="168" fontId="4" fillId="3" borderId="6" xfId="0" applyNumberFormat="1" applyFont="1" applyFill="1" applyBorder="1" applyProtection="1"/>
    <xf numFmtId="172" fontId="13" fillId="3" borderId="13" xfId="2" applyNumberFormat="1" applyFont="1" applyFill="1" applyBorder="1" applyAlignment="1" applyProtection="1">
      <alignment horizontal="right"/>
    </xf>
    <xf numFmtId="172" fontId="13" fillId="3" borderId="0" xfId="2" applyNumberFormat="1" applyFont="1" applyFill="1" applyBorder="1" applyAlignment="1" applyProtection="1">
      <alignment horizontal="right"/>
    </xf>
    <xf numFmtId="170" fontId="5" fillId="3" borderId="0" xfId="0" applyNumberFormat="1" applyFont="1" applyFill="1" applyBorder="1" applyProtection="1">
      <protection locked="0"/>
    </xf>
    <xf numFmtId="0" fontId="18" fillId="0" borderId="0" xfId="0" applyFont="1"/>
    <xf numFmtId="173" fontId="5" fillId="0" borderId="0" xfId="0" applyNumberFormat="1" applyFont="1" applyFill="1" applyBorder="1" applyProtection="1">
      <protection locked="0"/>
    </xf>
    <xf numFmtId="0" fontId="4" fillId="0" borderId="9" xfId="0" applyFont="1" applyBorder="1" applyAlignment="1" applyProtection="1">
      <alignment wrapText="1"/>
      <protection locked="0"/>
    </xf>
    <xf numFmtId="0" fontId="4" fillId="0" borderId="10" xfId="0" applyFont="1" applyBorder="1" applyAlignment="1" applyProtection="1">
      <alignment wrapText="1"/>
      <protection locked="0"/>
    </xf>
    <xf numFmtId="0" fontId="4" fillId="0" borderId="10" xfId="0" applyFont="1" applyFill="1" applyBorder="1" applyProtection="1">
      <protection locked="0"/>
    </xf>
    <xf numFmtId="174" fontId="5" fillId="0" borderId="0" xfId="0" applyNumberFormat="1" applyFont="1" applyFill="1" applyBorder="1" applyProtection="1">
      <protection locked="0"/>
    </xf>
  </cellXfs>
  <cellStyles count="3">
    <cellStyle name="Normal" xfId="0" builtinId="0"/>
    <cellStyle name="Normal 2" xfId="2"/>
    <cellStyle name="Procent" xfId="1"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7953374" cy="3228975"/>
    <xdr:sp macro="" textlink="">
      <xdr:nvSpPr>
        <xdr:cNvPr id="2" name="textruta 1"/>
        <xdr:cNvSpPr txBox="1"/>
      </xdr:nvSpPr>
      <xdr:spPr>
        <a:xfrm>
          <a:off x="0" y="533400"/>
          <a:ext cx="7953374" cy="322897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marL="0" marR="0" indent="0" defTabSz="914400" eaLnBrk="1" fontAlgn="auto" latinLnBrk="0" hangingPunct="1">
            <a:lnSpc>
              <a:spcPct val="100000"/>
            </a:lnSpc>
            <a:spcBef>
              <a:spcPts val="0"/>
            </a:spcBef>
            <a:spcAft>
              <a:spcPts val="0"/>
            </a:spcAft>
            <a:buClrTx/>
            <a:buSzTx/>
            <a:buFontTx/>
            <a:buNone/>
            <a:tabLst/>
            <a:defRPr/>
          </a:pPr>
          <a:endParaRPr lang="sv-SE" sz="9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a:solidFill>
                <a:schemeClr val="tx1"/>
              </a:solidFill>
              <a:effectLst/>
              <a:latin typeface="Cambria" panose="02040503050406030204" pitchFamily="18" charset="0"/>
              <a:ea typeface="+mn-ea"/>
              <a:cs typeface="+mn-cs"/>
            </a:rPr>
            <a:t>I</a:t>
          </a:r>
          <a:r>
            <a:rPr lang="sv-SE" sz="1050" b="0" baseline="0">
              <a:solidFill>
                <a:schemeClr val="tx1"/>
              </a:solidFill>
              <a:effectLst/>
              <a:latin typeface="Cambria" panose="02040503050406030204" pitchFamily="18" charset="0"/>
              <a:ea typeface="+mn-ea"/>
              <a:cs typeface="+mn-cs"/>
            </a:rPr>
            <a:t> </a:t>
          </a:r>
          <a:r>
            <a:rPr lang="sv-SE" sz="1100" b="0" baseline="0">
              <a:solidFill>
                <a:schemeClr val="tx1"/>
              </a:solidFill>
              <a:effectLst/>
              <a:latin typeface="Cambria" panose="02040503050406030204" pitchFamily="18" charset="0"/>
              <a:ea typeface="+mn-ea"/>
              <a:cs typeface="+mn-cs"/>
            </a:rPr>
            <a:t>denna kalkylmall gör du</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 </a:t>
          </a:r>
          <a:r>
            <a:rPr lang="sv-SE" sz="1100" b="0" baseline="0">
              <a:solidFill>
                <a:schemeClr val="tx1"/>
              </a:solidFill>
              <a:effectLst/>
              <a:latin typeface="Cambria" panose="02040503050406030204" pitchFamily="18" charset="0"/>
              <a:ea typeface="+mn-ea"/>
              <a:cs typeface="+mn-cs"/>
            </a:rPr>
            <a:t>investeringskalkyl</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driftkalkyl för 12 månader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1) Börja med att fylla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2) Fyll därefter i driftkalkylen. Det finns en flik för varje produktionsgren. Välj den som är aktuell. Övriga flikar kan du ta bort.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Avskrivningar och ränta beräknas automatiskt med hjälp av de uppgifter du skrivit in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3) När du fyllt i driftkalkylen för aktuellt djurslag så kommer investeringskalkylen att beräknas Fyll sedan i investeringskalkylen</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Investeringskalkylen bygger på de uppgifter du lagt in i fliken "Investeringsutgift" och fliken "Driftkalkyl" för aktuellt djurslag. </a:t>
          </a:r>
        </a:p>
        <a:p>
          <a:pPr marL="0" marR="0" indent="0" defTabSz="914400" eaLnBrk="1" fontAlgn="auto" latinLnBrk="0" hangingPunct="1">
            <a:lnSpc>
              <a:spcPct val="100000"/>
            </a:lnSpc>
            <a:spcBef>
              <a:spcPts val="0"/>
            </a:spcBef>
            <a:spcAft>
              <a:spcPts val="0"/>
            </a:spcAft>
            <a:buClrTx/>
            <a:buSzTx/>
            <a:buFontTx/>
            <a:buNone/>
            <a:tabLst/>
            <a:defRPr/>
          </a:pPr>
          <a:endParaRPr lang="sv-SE" sz="105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baseline="0">
              <a:solidFill>
                <a:schemeClr val="tx1"/>
              </a:solidFill>
              <a:effectLst/>
              <a:latin typeface="Cambria" panose="02040503050406030204" pitchFamily="18" charset="0"/>
              <a:ea typeface="+mn-ea"/>
              <a:cs typeface="+mn-cs"/>
            </a:rPr>
            <a:t>Kalkylbladen är låsta för att du inte ska råka ändra några formler av misstag. Det går att låsa upp dem under fliken "Granska" och klicka på "Ta bort bladets skydd". Det behövs inget lösenord för att låsa upp kalkylbladen.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323850</xdr:colOff>
      <xdr:row>0</xdr:row>
      <xdr:rowOff>152399</xdr:rowOff>
    </xdr:from>
    <xdr:ext cx="7267575" cy="20678776"/>
    <xdr:sp macro="" textlink="">
      <xdr:nvSpPr>
        <xdr:cNvPr id="2" name="textruta 1"/>
        <xdr:cNvSpPr txBox="1"/>
      </xdr:nvSpPr>
      <xdr:spPr>
        <a:xfrm>
          <a:off x="7496175" y="152399"/>
          <a:ext cx="7267575" cy="20678776"/>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b="0">
            <a:solidFill>
              <a:schemeClr val="tx1"/>
            </a:solidFill>
            <a:effectLst/>
            <a:latin typeface="Cambria" panose="02040503050406030204" pitchFamily="18" charset="0"/>
            <a:ea typeface="+mn-ea"/>
            <a:cs typeface="+mn-cs"/>
          </a:endParaRPr>
        </a:p>
        <a:p>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Ange</a:t>
          </a:r>
          <a:r>
            <a:rPr lang="sv-SE" sz="1100" b="1" baseline="0">
              <a:solidFill>
                <a:schemeClr val="tx1"/>
              </a:solidFill>
              <a:effectLst/>
              <a:latin typeface="Cambria" panose="02040503050406030204" pitchFamily="18" charset="0"/>
              <a:ea typeface="+mn-ea"/>
              <a:cs typeface="+mn-cs"/>
            </a:rPr>
            <a:t> typ av stall</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Rad 2: Beskriv vad det är</a:t>
          </a:r>
          <a:r>
            <a:rPr lang="sv-SE" sz="1100" b="0" baseline="0">
              <a:solidFill>
                <a:schemeClr val="tx1"/>
              </a:solidFill>
              <a:effectLst/>
              <a:latin typeface="Cambria" panose="02040503050406030204" pitchFamily="18" charset="0"/>
              <a:ea typeface="+mn-ea"/>
              <a:cs typeface="+mn-cs"/>
            </a:rPr>
            <a:t> för typ av stall konceptet avser. T.ex. Stall för slaktgrisproduktion </a:t>
          </a:r>
        </a:p>
        <a:p>
          <a:pPr eaLnBrk="1" fontAlgn="auto" latinLnBrk="0" hangingPunct="1"/>
          <a:endParaRPr lang="sv-SE" sz="1100">
            <a:effectLst/>
            <a:latin typeface="Cambria" panose="02040503050406030204" pitchFamily="18" charset="0"/>
          </a:endParaRPr>
        </a:p>
        <a:p>
          <a:pPr eaLnBrk="1" fontAlgn="auto" latinLnBrk="0" hangingPunct="1"/>
          <a:r>
            <a:rPr lang="sv-SE" sz="1100" b="1">
              <a:solidFill>
                <a:schemeClr val="tx1"/>
              </a:solidFill>
              <a:effectLst/>
              <a:latin typeface="Cambria" panose="02040503050406030204" pitchFamily="18" charset="0"/>
              <a:ea typeface="+mn-ea"/>
              <a:cs typeface="+mn-cs"/>
            </a:rPr>
            <a:t>Utvecklingsgrupp</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Skriv in namn</a:t>
          </a:r>
          <a:r>
            <a:rPr lang="sv-SE" sz="1100" b="0" baseline="0">
              <a:solidFill>
                <a:schemeClr val="tx1"/>
              </a:solidFill>
              <a:effectLst/>
              <a:latin typeface="Cambria" panose="02040503050406030204" pitchFamily="18" charset="0"/>
              <a:ea typeface="+mn-ea"/>
              <a:cs typeface="+mn-cs"/>
            </a:rPr>
            <a:t> och organisation på de personer som ingår i utvecklingsgruppen som tagit fram konceptet.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u="sng" baseline="0">
              <a:solidFill>
                <a:schemeClr val="tx1"/>
              </a:solidFill>
              <a:effectLst/>
              <a:latin typeface="Cambria" panose="02040503050406030204" pitchFamily="18" charset="0"/>
              <a:ea typeface="+mn-ea"/>
              <a:cs typeface="+mn-cs"/>
            </a:rPr>
            <a:t>GRUNDDATA </a:t>
          </a:r>
        </a:p>
        <a:p>
          <a:pPr eaLnBrk="1" fontAlgn="auto" latinLnBrk="0" hangingPunct="1"/>
          <a:r>
            <a:rPr lang="sv-SE" sz="1100" b="1" baseline="0">
              <a:solidFill>
                <a:schemeClr val="tx1"/>
              </a:solidFill>
              <a:effectLst/>
              <a:latin typeface="Cambria" panose="02040503050406030204" pitchFamily="18" charset="0"/>
              <a:ea typeface="+mn-ea"/>
              <a:cs typeface="+mn-cs"/>
            </a:rPr>
            <a:t>Antal djurplatser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Ange hur många djurplatser stallet är dimensionerat för.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T.ex.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X mjölkkor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Y suggor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Z slakgrisar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Denna uppgift används för att räkna ut investeringsutgiften per djurplats. Det är därför viktigt att du anger antalet djurplatser med samma enhet som framgår av kraven på maximal investeringsutgift, se "Investeringsutgift per djurplats" nedan. </a:t>
          </a:r>
        </a:p>
        <a:p>
          <a:pPr eaLnBrk="1" fontAlgn="auto" latinLnBrk="0" hangingPunct="1"/>
          <a:r>
            <a:rPr lang="sv-SE" sz="1100" b="0" baseline="0">
              <a:solidFill>
                <a:schemeClr val="tx1"/>
              </a:solidFill>
              <a:effectLst/>
              <a:latin typeface="Cambria" panose="02040503050406030204" pitchFamily="18" charset="0"/>
              <a:ea typeface="+mn-ea"/>
              <a:cs typeface="+mn-cs"/>
            </a:rPr>
            <a:t>Välj djurslag i rullistan.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Yta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ytan på stallet, serviceutrymmen respektive utrymmen för visning.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Investeringsutgift </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Beloppet hämtas när du har fyllt i uppgifter om investeringsutgift på denna flik. </a:t>
          </a:r>
        </a:p>
        <a:p>
          <a:pPr marL="0" marR="0" indent="0" defTabSz="914400" eaLnBrk="1" fontAlgn="auto" latinLnBrk="0" hangingPunct="1">
            <a:lnSpc>
              <a:spcPct val="100000"/>
            </a:lnSpc>
            <a:spcBef>
              <a:spcPts val="0"/>
            </a:spcBef>
            <a:spcAft>
              <a:spcPts val="0"/>
            </a:spcAft>
            <a:buClrTx/>
            <a:buSzTx/>
            <a:buFontTx/>
            <a:buNone/>
            <a:tabLst/>
            <a:defRPr/>
          </a:pPr>
          <a:endParaRPr lang="sv-SE" sz="1100" b="0"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Driftnetto</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Hämtas från driftskalkylen när du har fyllt i den på annan flik i kalkylmallen.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Ekonomisk livslängd </a:t>
          </a:r>
        </a:p>
        <a:p>
          <a:pPr marL="0" marR="0" indent="0" defTabSz="914400" eaLnBrk="1" fontAlgn="auto" latinLnBrk="0" hangingPunct="1">
            <a:lnSpc>
              <a:spcPct val="100000"/>
            </a:lnSpc>
            <a:spcBef>
              <a:spcPts val="0"/>
            </a:spcBef>
            <a:spcAft>
              <a:spcPts val="0"/>
            </a:spcAft>
            <a:buClrTx/>
            <a:buSzTx/>
            <a:buFontTx/>
            <a:buNone/>
            <a:tabLst/>
            <a:defRPr/>
          </a:pPr>
          <a:r>
            <a:rPr lang="sv-SE" sz="1100" i="0" baseline="0">
              <a:solidFill>
                <a:schemeClr val="tx1"/>
              </a:solidFill>
              <a:effectLst/>
              <a:latin typeface="Cambria" panose="02040503050406030204" pitchFamily="18" charset="0"/>
              <a:ea typeface="+mn-ea"/>
              <a:cs typeface="+mn-cs"/>
            </a:rPr>
            <a:t>Ange hur lång den ekonomiska livslängden är för investeringen (10-15 år beroende på konstruktion och materialval). Den ekonomiska livslängden får inte vara längre än 15 år i kalkylen. </a:t>
          </a:r>
          <a:endParaRPr lang="sv-SE" sz="1100" i="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r>
            <a:rPr lang="sv-SE" sz="1100" b="1" baseline="0">
              <a:solidFill>
                <a:schemeClr val="tx1"/>
              </a:solidFill>
              <a:effectLst/>
              <a:latin typeface="Cambria" panose="02040503050406030204" pitchFamily="18" charset="0"/>
              <a:ea typeface="+mn-ea"/>
              <a:cs typeface="+mn-cs"/>
            </a:rPr>
            <a:t>Hur beräknas nettonuvärdet?</a:t>
          </a:r>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Beräkningen av investeringens nettonuvärde sker automatiskt när du fyllt i uppgifter om investeringsutgiften samt driftkalkyl för aktuell produktionsgren.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Nettonuvärdet är en samlad bedömning av investeringens lönsamhet under hela den ekonomiska livslängden. Nuvärdet tar hänsyn till pengarnas tidsvärde. (100 kr är värt mer idag än om till exempel två år.) Investeringen ska klara ett avkastningskrav (nominell kalkylränta) på 5 %.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I kalkylen används driftnettot från driftskalkylen från år 1 (exklusive avskrivningar och ränta, eftersom nuvärdekalkylen redan tar hänsyn till avskrivningar och ränta). Driftkalkylen visar det ekonomiska utfallet år 1 med antagandet att investeringen är i full drift redan år 1, ä</a:t>
          </a:r>
          <a:r>
            <a:rPr lang="sv-SE" sz="1100" b="0" baseline="0">
              <a:solidFill>
                <a:schemeClr val="tx1"/>
              </a:solidFill>
              <a:effectLst/>
              <a:latin typeface="Cambria" panose="02040503050406030204" pitchFamily="18" charset="0"/>
              <a:ea typeface="+mn-ea"/>
              <a:cs typeface="+mn-cs"/>
            </a:rPr>
            <a:t>ven om det i praktiken tar längre tid att komma upp i full produktion. </a:t>
          </a:r>
          <a:r>
            <a:rPr lang="sv-SE" sz="1100">
              <a:solidFill>
                <a:schemeClr val="tx1"/>
              </a:solidFill>
              <a:effectLst/>
              <a:latin typeface="Cambria" panose="02040503050406030204" pitchFamily="18" charset="0"/>
              <a:ea typeface="+mn-ea"/>
              <a:cs typeface="+mn-cs"/>
            </a:rPr>
            <a:t>Detta är en förenkling för att inte behöva göra driftskalkyler för alla år under stallets ekonomiska livslängd. Driftskalkylen för år 1 med full drift används i kalkylen som ett uppskattat genomsnitt av alla år under den ekonomiska livslängden. Vid</a:t>
          </a:r>
          <a:r>
            <a:rPr lang="sv-SE" sz="1100" baseline="0">
              <a:solidFill>
                <a:schemeClr val="tx1"/>
              </a:solidFill>
              <a:effectLst/>
              <a:latin typeface="Cambria" panose="02040503050406030204" pitchFamily="18" charset="0"/>
              <a:ea typeface="+mn-ea"/>
              <a:cs typeface="+mn-cs"/>
            </a:rPr>
            <a:t> beräkningen av nuvärdet antas att driftnettot år 1 kommer att följa inflationen under den ekonomiska livslängden. Inflationen uppskattas till 1% per år. </a:t>
          </a:r>
        </a:p>
        <a:p>
          <a:pPr eaLnBrk="1" fontAlgn="auto" latinLnBrk="0" hangingPunct="1"/>
          <a:endParaRPr lang="sv-SE" sz="1100" baseline="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Driftskalkylen omfattar de huvudsakliga intäkter och kostnader som kan kopplas till stallet.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 </a:t>
          </a:r>
          <a:endParaRPr lang="sv-SE" sz="1100">
            <a:effectLst/>
            <a:latin typeface="Cambria" panose="02040503050406030204" pitchFamily="18" charset="0"/>
          </a:endParaRPr>
        </a:p>
        <a:p>
          <a:r>
            <a:rPr lang="sv-SE" sz="1100" b="1" baseline="0">
              <a:solidFill>
                <a:schemeClr val="tx1"/>
              </a:solidFill>
              <a:effectLst/>
              <a:latin typeface="Cambria" panose="02040503050406030204" pitchFamily="18" charset="0"/>
              <a:ea typeface="+mn-ea"/>
              <a:cs typeface="+mn-cs"/>
            </a:rPr>
            <a:t>Hur tolkar du nettonuvärdet?</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minst 0 kr så klarar stallkonceptet avkastningskravet på 5% (nominellt).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större än 0 kr är avkastningen på investeringen större än 5%.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negativt så klarar inte stallkonceptet avkastningskravet på 5%.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INVESTERINGSUTGIFT</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Enhet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I kolumnen anger du enheten för volymen av varje kalkylpost, till exempel: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st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meter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m2</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Utgift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Alla utgifter anges i svenska kronor (SEK) exklusive moms.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Eget arbete &amp; eget material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Kom ihåg att även räkna med eventuellt eget arbete och eget material i den totala investeringsutgiften. Eget arbete ska värderas till minst 220 kr per timme. Eget material värderas till den utgift som hade betalats om materialet istället köps in.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Inredning, utrustning &amp; maskiner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Precisera vilken inredning, utrustning och maskiner som ska finnas i stallet.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Investeringsutgift för traktor, lastmaskin eller liknande mobil maskin som både används i stallet och för andra ändamål ska ingå i kalkylerna, men endast med den andel som de används i stallet. Maskiner som endast används för driften av stallet ska ingå i sin helhet (till exempel fodermaskiner och strömaskiner).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Här anger du räntan som uppstår under byggtiden. Du ska räkna med 5 % ränta per år på de belopp som ska betalas innan stallet är färdigt att börja användas. Gör en översiktlig sammanställning av när i tiden olika belopp av investeringsutgiften beräknas behöva betalas och beräkna räntan utifrån sammanställningen. Redovisa beräkningen i noten.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Investeringsstöd</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Stödet beräknas enligt schablon till 40% av investeringsutgiften, dock högst 1 200 000 kr.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Investeringsutgift per djurplats</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Maximal investeringsutgift (efter avräknat investeringsstöd enligt schablon) framgår av uppdragsspecifikationen och är: </a:t>
          </a:r>
        </a:p>
        <a:p>
          <a:pPr lvl="0" hangingPunct="0"/>
          <a:r>
            <a:rPr lang="sv-SE" sz="1100">
              <a:solidFill>
                <a:schemeClr val="tx1"/>
              </a:solidFill>
              <a:effectLst/>
              <a:latin typeface="Cambria" panose="02040503050406030204" pitchFamily="18" charset="0"/>
              <a:ea typeface="+mn-ea"/>
              <a:cs typeface="+mn-cs"/>
            </a:rPr>
            <a:t>- 40 000 kr per suggplats</a:t>
          </a:r>
        </a:p>
        <a:p>
          <a:pPr lvl="0" hangingPunct="0"/>
          <a:r>
            <a:rPr lang="sv-SE" sz="1100">
              <a:solidFill>
                <a:schemeClr val="tx1"/>
              </a:solidFill>
              <a:effectLst/>
              <a:latin typeface="Cambria" panose="02040503050406030204" pitchFamily="18" charset="0"/>
              <a:ea typeface="+mn-ea"/>
              <a:cs typeface="+mn-cs"/>
            </a:rPr>
            <a:t>- 5 000 kr per slaktgrisplats</a:t>
          </a:r>
        </a:p>
        <a:p>
          <a:pPr lvl="0" hangingPunct="0"/>
          <a:r>
            <a:rPr lang="sv-SE" sz="1100">
              <a:solidFill>
                <a:schemeClr val="tx1"/>
              </a:solidFill>
              <a:effectLst/>
              <a:latin typeface="Cambria" panose="02040503050406030204" pitchFamily="18" charset="0"/>
              <a:ea typeface="+mn-ea"/>
              <a:cs typeface="+mn-cs"/>
            </a:rPr>
            <a:t>- 50 000 kr per koplats (inkl. sinkor &amp; kalvar upp till 3 mån)</a:t>
          </a:r>
        </a:p>
        <a:p>
          <a:pPr lvl="0" hangingPunct="0"/>
          <a:r>
            <a:rPr lang="sv-SE" sz="1100">
              <a:solidFill>
                <a:schemeClr val="tx1"/>
              </a:solidFill>
              <a:effectLst/>
              <a:latin typeface="Cambria" panose="02040503050406030204" pitchFamily="18" charset="0"/>
              <a:ea typeface="+mn-ea"/>
              <a:cs typeface="+mn-cs"/>
            </a:rPr>
            <a:t>- 3 000 kr per tacka</a:t>
          </a:r>
        </a:p>
        <a:p>
          <a:pPr lvl="0" hangingPunct="0"/>
          <a:r>
            <a:rPr lang="sv-SE" sz="1100">
              <a:solidFill>
                <a:schemeClr val="tx1"/>
              </a:solidFill>
              <a:effectLst/>
              <a:latin typeface="Cambria" panose="02040503050406030204" pitchFamily="18" charset="0"/>
              <a:ea typeface="+mn-ea"/>
              <a:cs typeface="+mn-cs"/>
            </a:rPr>
            <a:t>- 20 000 kr per dikoplats </a:t>
          </a:r>
        </a:p>
        <a:p>
          <a:pPr lvl="0" hangingPunct="0"/>
          <a:r>
            <a:rPr lang="sv-SE" sz="1100">
              <a:solidFill>
                <a:schemeClr val="tx1"/>
              </a:solidFill>
              <a:effectLst/>
              <a:latin typeface="Cambria" panose="02040503050406030204" pitchFamily="18" charset="0"/>
              <a:ea typeface="+mn-ea"/>
              <a:cs typeface="+mn-cs"/>
            </a:rPr>
            <a:t>- 25 000 kr per slaktungnötplats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Utrymmen för visning</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Ange belopp för utrymmen som används särskilt för detta ändamål. Detta belopp ingår inte vid bedömning av investeringsutgift per djurplats eller vid beräkning av räntor och avskrivningar i driftskalkyl eller investeringskalkyl. Investeringsutgiften </a:t>
          </a:r>
          <a:r>
            <a:rPr lang="sv-SE" sz="1100" b="1" i="1" baseline="0">
              <a:solidFill>
                <a:schemeClr val="tx1"/>
              </a:solidFill>
              <a:effectLst/>
              <a:latin typeface="Cambria" panose="02040503050406030204" pitchFamily="18" charset="0"/>
              <a:ea typeface="+mn-ea"/>
              <a:cs typeface="+mn-cs"/>
            </a:rPr>
            <a:t>bör</a:t>
          </a:r>
          <a:r>
            <a:rPr lang="sv-SE" sz="1100" b="0" baseline="0">
              <a:solidFill>
                <a:schemeClr val="tx1"/>
              </a:solidFill>
              <a:effectLst/>
              <a:latin typeface="Cambria" panose="02040503050406030204" pitchFamily="18" charset="0"/>
              <a:ea typeface="+mn-ea"/>
              <a:cs typeface="+mn-cs"/>
            </a:rPr>
            <a:t> inte vara högre än 200 000 kr. </a:t>
          </a:r>
        </a:p>
        <a:p>
          <a:pPr marL="0" marR="0" indent="0" defTabSz="914400" eaLnBrk="1" fontAlgn="auto" latinLnBrk="0" hangingPunct="1">
            <a:lnSpc>
              <a:spcPct val="100000"/>
            </a:lnSpc>
            <a:spcBef>
              <a:spcPts val="0"/>
            </a:spcBef>
            <a:spcAft>
              <a:spcPts val="0"/>
            </a:spcAft>
            <a:buClrTx/>
            <a:buSzTx/>
            <a:buFontTx/>
            <a:buNone/>
            <a:tabLst/>
            <a:defRPr/>
          </a:pPr>
          <a:endParaRPr lang="sv-SE" sz="1100">
            <a:effectLst/>
            <a:latin typeface="Cambria" panose="02040503050406030204" pitchFamily="18" charset="0"/>
          </a:endParaRPr>
        </a:p>
      </xdr:txBody>
    </xdr:sp>
    <xdr:clientData/>
  </xdr:oneCellAnchor>
  <xdr:oneCellAnchor>
    <xdr:from>
      <xdr:col>4</xdr:col>
      <xdr:colOff>0</xdr:colOff>
      <xdr:row>3</xdr:row>
      <xdr:rowOff>0</xdr:rowOff>
    </xdr:from>
    <xdr:ext cx="2381249" cy="1257300"/>
    <xdr:sp macro="" textlink="">
      <xdr:nvSpPr>
        <xdr:cNvPr id="3" name="textruta 2"/>
        <xdr:cNvSpPr txBox="1"/>
      </xdr:nvSpPr>
      <xdr:spPr>
        <a:xfrm>
          <a:off x="5306291" y="755073"/>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190500</xdr:colOff>
      <xdr:row>0</xdr:row>
      <xdr:rowOff>123825</xdr:rowOff>
    </xdr:from>
    <xdr:ext cx="7267575" cy="18402300"/>
    <xdr:sp macro="" textlink="">
      <xdr:nvSpPr>
        <xdr:cNvPr id="5" name="textruta 4"/>
        <xdr:cNvSpPr txBox="1"/>
      </xdr:nvSpPr>
      <xdr:spPr>
        <a:xfrm>
          <a:off x="8092440" y="123825"/>
          <a:ext cx="7267575" cy="18402300"/>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Mjölkkor</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endParaRPr lang="sv-SE" sz="110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 </a:t>
          </a:r>
          <a:endParaRPr lang="sv-SE">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p>
        <a:p>
          <a:pPr eaLnBrk="1" fontAlgn="auto" latinLnBrk="0" hangingPunct="1"/>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Driftkalkylen omfattar de huvudsakliga intäkter och kostnader som kan kopplas till stallet. Av förenklingsskäl ingår inte alla kostnader i kalkylen. Det innebär att vinstmarginalen i praktiken kan bli lägre för företaget som helhet. Till exempel ska den täcka ränta på rörelsekapital (förutom djurkapital),</a:t>
          </a:r>
          <a:r>
            <a:rPr lang="sv-SE" sz="1100" baseline="0">
              <a:solidFill>
                <a:schemeClr val="tx1"/>
              </a:solidFill>
              <a:effectLst/>
              <a:latin typeface="Cambria" panose="02040503050406030204" pitchFamily="18" charset="0"/>
              <a:ea typeface="+mn-ea"/>
              <a:cs typeface="+mn-cs"/>
            </a:rPr>
            <a:t> uppstartskostnader innan stallet är i full drift, administration</a:t>
          </a:r>
          <a:r>
            <a:rPr lang="sv-SE" sz="1100">
              <a:solidFill>
                <a:schemeClr val="tx1"/>
              </a:solidFill>
              <a:effectLst/>
              <a:latin typeface="Cambria" panose="02040503050406030204" pitchFamily="18" charset="0"/>
              <a:ea typeface="+mn-ea"/>
              <a:cs typeface="+mn-cs"/>
            </a:rPr>
            <a:t> och andra gemensamma kostnader för företaget samt vinst.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utom de rutor som är gulmarkerade.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antal årskor.</a:t>
          </a:r>
          <a:r>
            <a:rPr lang="sv-SE" sz="1100" b="0" baseline="0">
              <a:solidFill>
                <a:schemeClr val="tx1"/>
              </a:solidFill>
              <a:effectLst/>
              <a:latin typeface="Cambria" panose="02040503050406030204" pitchFamily="18" charset="0"/>
              <a:ea typeface="+mn-ea"/>
              <a:cs typeface="+mn-cs"/>
            </a:rPr>
            <a:t>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Levererad mjölk</a:t>
          </a:r>
        </a:p>
        <a:p>
          <a:pPr eaLnBrk="1" fontAlgn="auto" latinLnBrk="0" hangingPunct="1"/>
          <a:r>
            <a:rPr lang="sv-SE" sz="1100" b="0" baseline="0">
              <a:solidFill>
                <a:schemeClr val="tx1"/>
              </a:solidFill>
              <a:effectLst/>
              <a:latin typeface="Cambria" panose="02040503050406030204" pitchFamily="18" charset="0"/>
              <a:ea typeface="+mn-ea"/>
              <a:cs typeface="+mn-cs"/>
            </a:rPr>
            <a:t>Priset för leverad mjölk får i kalkylen inte vara högre än 2,40 kr/kg för konventionell produktion och 3,00 kr/kg för ekologisk produktion. Priset är inklusive efterlikvid.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Utslagsko</a:t>
          </a:r>
        </a:p>
        <a:p>
          <a:pPr eaLnBrk="1" fontAlgn="auto" latinLnBrk="0" hangingPunct="1"/>
          <a:r>
            <a:rPr lang="sv-SE" sz="1100" b="0" baseline="0">
              <a:solidFill>
                <a:schemeClr val="tx1"/>
              </a:solidFill>
              <a:effectLst/>
              <a:latin typeface="Cambria" panose="02040503050406030204" pitchFamily="18" charset="0"/>
              <a:ea typeface="+mn-ea"/>
              <a:cs typeface="+mn-cs"/>
            </a:rPr>
            <a:t>Kvantiten anges som ett decimaltal. T.ex. om 50 % av korna slås ut på årsbasis blir kvantiteten 0,50.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Du kan räkna med de stöd som kräver att de djur som stallet byggs för finns. Du får ta med så stora arealer som djurantalet som stallet byggs för motiverar. Stöden beräknas till aktuell nivå för år 2017. (Detta är en förenkling i kalkylen, även om stödnivåerna förväntas förändras kommande år.) I noten till varje kalkylpost beskriver du hur beloppet är beräknat och hur stora arealer per djur stöden är beräknade utifrån.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Netto betesmark - Om nettot är negativt skriver du 0 kr här. Lägg istället till en ny rad under kostnader. </a:t>
          </a:r>
          <a:endParaRPr lang="sv-SE">
            <a:effectLst/>
            <a:latin typeface="Cambria" panose="02040503050406030204" pitchFamily="18" charset="0"/>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Rekryteringskviga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kostnaden för en rekryteringskviga (oavset om den köps in eller kommer från egen uppfödning). (På fliken "Driftkalkyl - Dikor" finns en särskilt kalkyl för att beräkna kostnaden för egen uppfödning av en rekryteringskviga.) </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eaLnBrk="1" fontAlgn="auto" latinLnBrk="0" hangingPunct="1"/>
          <a:endParaRPr lang="sv-SE" sz="1100" b="1">
            <a:solidFill>
              <a:schemeClr val="tx1"/>
            </a:solidFill>
            <a:effectLst/>
            <a:latin typeface="+mn-lt"/>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Kontrollera beräkningarna!</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endParaRPr lang="sv-SE">
            <a:effectLst/>
            <a:latin typeface="Cambria" panose="02040503050406030204" pitchFamily="18" charset="0"/>
          </a:endParaRPr>
        </a:p>
        <a:p>
          <a:pPr eaLnBrk="1" fontAlgn="auto" latinLnBrk="0" hangingPunct="1"/>
          <a:endParaRPr lang="sv-SE">
            <a:effectLst/>
            <a:latin typeface="Cambria" panose="02040503050406030204" pitchFamily="18" charset="0"/>
          </a:endParaRPr>
        </a:p>
      </xdr:txBody>
    </xdr:sp>
    <xdr:clientData/>
  </xdr:oneCellAnchor>
  <xdr:oneCellAnchor>
    <xdr:from>
      <xdr:col>4</xdr:col>
      <xdr:colOff>0</xdr:colOff>
      <xdr:row>2</xdr:row>
      <xdr:rowOff>0</xdr:rowOff>
    </xdr:from>
    <xdr:ext cx="2381249" cy="1257300"/>
    <xdr:sp macro="" textlink="">
      <xdr:nvSpPr>
        <xdr:cNvPr id="3" name="textruta 2"/>
        <xdr:cNvSpPr txBox="1"/>
      </xdr:nvSpPr>
      <xdr:spPr>
        <a:xfrm>
          <a:off x="4765964" y="53340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N17" sqref="N17"/>
    </sheetView>
  </sheetViews>
  <sheetFormatPr defaultRowHeight="14.4" x14ac:dyDescent="0.3"/>
  <sheetData>
    <row r="1" spans="1:1" ht="27.6" x14ac:dyDescent="0.45">
      <c r="A1" s="2" t="s">
        <v>28</v>
      </c>
    </row>
    <row r="2" spans="1:1" x14ac:dyDescent="0.3">
      <c r="A2"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73"/>
  <sheetViews>
    <sheetView zoomScale="110" zoomScaleNormal="110" workbookViewId="0">
      <selection activeCell="E4" sqref="E4"/>
    </sheetView>
  </sheetViews>
  <sheetFormatPr defaultColWidth="9.109375" defaultRowHeight="13.8" x14ac:dyDescent="0.25"/>
  <cols>
    <col min="1" max="1" width="38.44140625" style="3" customWidth="1"/>
    <col min="2" max="2" width="16.44140625" style="3" bestFit="1" customWidth="1"/>
    <col min="3" max="3" width="12" style="3" customWidth="1"/>
    <col min="4" max="4" width="10.44140625" style="3" customWidth="1"/>
    <col min="5" max="5" width="15.6640625" style="3" customWidth="1"/>
    <col min="6" max="6" width="16.33203125" style="3" bestFit="1" customWidth="1"/>
    <col min="7" max="16384" width="9.109375" style="3"/>
  </cols>
  <sheetData>
    <row r="1" spans="1:7" ht="27.6" x14ac:dyDescent="0.45">
      <c r="A1" s="2" t="s">
        <v>78</v>
      </c>
    </row>
    <row r="2" spans="1:7" ht="17.399999999999999" x14ac:dyDescent="0.3">
      <c r="A2" s="88" t="s">
        <v>139</v>
      </c>
    </row>
    <row r="3" spans="1:7" ht="14.4" thickBot="1" x14ac:dyDescent="0.3">
      <c r="A3" s="4"/>
    </row>
    <row r="4" spans="1:7" x14ac:dyDescent="0.25">
      <c r="A4" s="5" t="s">
        <v>25</v>
      </c>
      <c r="B4" s="6"/>
      <c r="C4" s="7"/>
      <c r="D4" s="8"/>
      <c r="F4" s="9"/>
      <c r="G4" s="9"/>
    </row>
    <row r="5" spans="1:7" x14ac:dyDescent="0.25">
      <c r="A5" s="78" t="s">
        <v>27</v>
      </c>
      <c r="B5" s="79" t="s">
        <v>26</v>
      </c>
      <c r="C5" s="79"/>
      <c r="D5" s="80"/>
      <c r="F5" s="9"/>
      <c r="G5" s="9"/>
    </row>
    <row r="6" spans="1:7" x14ac:dyDescent="0.25">
      <c r="A6" s="101" t="s">
        <v>128</v>
      </c>
      <c r="B6" s="102" t="s">
        <v>132</v>
      </c>
      <c r="C6" s="103"/>
      <c r="D6" s="104"/>
      <c r="E6" s="9"/>
      <c r="F6" s="11"/>
      <c r="G6" s="9"/>
    </row>
    <row r="7" spans="1:7" x14ac:dyDescent="0.25">
      <c r="A7" s="101" t="s">
        <v>129</v>
      </c>
      <c r="B7" s="102" t="s">
        <v>132</v>
      </c>
      <c r="C7" s="103"/>
      <c r="D7" s="104"/>
      <c r="E7" s="9"/>
      <c r="F7" s="11"/>
      <c r="G7" s="9"/>
    </row>
    <row r="8" spans="1:7" x14ac:dyDescent="0.25">
      <c r="A8" s="101" t="s">
        <v>130</v>
      </c>
      <c r="B8" s="102" t="s">
        <v>132</v>
      </c>
      <c r="C8" s="103"/>
      <c r="D8" s="104"/>
      <c r="E8" s="9"/>
      <c r="F8" s="11"/>
      <c r="G8" s="9"/>
    </row>
    <row r="9" spans="1:7" ht="14.4" thickBot="1" x14ac:dyDescent="0.3">
      <c r="A9" s="202" t="s">
        <v>131</v>
      </c>
      <c r="B9" s="203" t="s">
        <v>132</v>
      </c>
      <c r="C9" s="204"/>
      <c r="D9" s="105"/>
      <c r="E9" s="9"/>
      <c r="F9" s="11"/>
      <c r="G9" s="9"/>
    </row>
    <row r="10" spans="1:7" x14ac:dyDescent="0.25">
      <c r="A10" s="4"/>
    </row>
    <row r="11" spans="1:7" ht="14.4" thickBot="1" x14ac:dyDescent="0.3">
      <c r="A11" s="53"/>
      <c r="B11" s="52"/>
      <c r="C11" s="53"/>
      <c r="D11" s="53"/>
    </row>
    <row r="12" spans="1:7" x14ac:dyDescent="0.25">
      <c r="A12" s="75" t="s">
        <v>84</v>
      </c>
      <c r="B12" s="76" t="s">
        <v>79</v>
      </c>
      <c r="C12" s="77" t="s">
        <v>22</v>
      </c>
      <c r="D12" s="54"/>
    </row>
    <row r="13" spans="1:7" x14ac:dyDescent="0.25">
      <c r="A13" s="58" t="s">
        <v>23</v>
      </c>
      <c r="B13" s="106">
        <v>567</v>
      </c>
      <c r="C13" s="185" t="s">
        <v>95</v>
      </c>
      <c r="D13" s="9" t="s">
        <v>104</v>
      </c>
    </row>
    <row r="14" spans="1:7" x14ac:dyDescent="0.25">
      <c r="A14" s="14" t="s">
        <v>80</v>
      </c>
      <c r="B14" s="107">
        <v>6163</v>
      </c>
      <c r="C14" s="12" t="s">
        <v>1</v>
      </c>
    </row>
    <row r="15" spans="1:7" ht="28.5" customHeight="1" x14ac:dyDescent="0.25">
      <c r="A15" s="10" t="s">
        <v>81</v>
      </c>
      <c r="B15" s="107">
        <v>723</v>
      </c>
      <c r="C15" s="12" t="s">
        <v>1</v>
      </c>
      <c r="D15" s="9"/>
    </row>
    <row r="16" spans="1:7" x14ac:dyDescent="0.25">
      <c r="A16" s="15" t="s">
        <v>82</v>
      </c>
      <c r="B16" s="108">
        <v>0</v>
      </c>
      <c r="C16" s="16" t="s">
        <v>1</v>
      </c>
      <c r="D16" s="9"/>
    </row>
    <row r="17" spans="1:6" ht="14.4" thickBot="1" x14ac:dyDescent="0.3">
      <c r="A17" s="20" t="s">
        <v>0</v>
      </c>
      <c r="B17" s="100">
        <f>SUM(B14:B15)</f>
        <v>6886</v>
      </c>
      <c r="C17" s="65" t="s">
        <v>1</v>
      </c>
      <c r="D17" s="13"/>
      <c r="E17" s="13"/>
      <c r="F17" s="13"/>
    </row>
    <row r="18" spans="1:6" x14ac:dyDescent="0.25">
      <c r="A18" s="75" t="s">
        <v>78</v>
      </c>
      <c r="B18" s="76" t="s">
        <v>79</v>
      </c>
      <c r="C18" s="77" t="s">
        <v>22</v>
      </c>
      <c r="D18" s="54"/>
    </row>
    <row r="19" spans="1:6" ht="27.6" x14ac:dyDescent="0.25">
      <c r="A19" s="58" t="s">
        <v>98</v>
      </c>
      <c r="B19" s="197">
        <f>Investeringskalkyl!F64</f>
        <v>28236640</v>
      </c>
      <c r="C19" s="59" t="s">
        <v>36</v>
      </c>
      <c r="D19" s="54"/>
    </row>
    <row r="20" spans="1:6" x14ac:dyDescent="0.25">
      <c r="A20" s="58" t="s">
        <v>99</v>
      </c>
      <c r="B20" s="198">
        <f>IF(Investeringskalkyl!$C$13="suggor",#REF!)+IF(Investeringskalkyl!$C$13="slaktgrisar",#REF!)+IF(Investeringskalkyl!$C$13="tackor",#REF!)+IF(Investeringskalkyl!$C$13="dikor",#REF!)+IF(Investeringskalkyl!$C$13="slaktungnöt",#REF!)+IF(Investeringskalkyl!$C$13="mjölkkor",'Driftkalkyl - Mjölkkor'!B7)</f>
        <v>2508511.9590198277</v>
      </c>
      <c r="C20" s="59" t="s">
        <v>62</v>
      </c>
      <c r="D20" s="54"/>
      <c r="E20" s="86"/>
      <c r="F20" s="87"/>
    </row>
    <row r="21" spans="1:6" ht="27.6" x14ac:dyDescent="0.25">
      <c r="A21" s="58" t="s">
        <v>100</v>
      </c>
      <c r="B21" s="198">
        <f>$B$20+(IF(Investeringskalkyl!$C$13="suggor",#REF!)+IF(Investeringskalkyl!$C$13="slaktgrisar",#REF!)+IF(Investeringskalkyl!$C$13="tackor",#REF!)+IF(Investeringskalkyl!$C$13="dikor",#REF!)+IF(Investeringskalkyl!$C$13="slaktungnöt",#REF!)+IF(Investeringskalkyl!$C$13="mjölkkor",'Driftkalkyl - Mjölkkor'!$G$54))</f>
        <v>5423564.023840446</v>
      </c>
      <c r="C21" s="59" t="s">
        <v>62</v>
      </c>
      <c r="D21" s="54"/>
    </row>
    <row r="22" spans="1:6" ht="27.6" x14ac:dyDescent="0.25">
      <c r="A22" s="58" t="s">
        <v>65</v>
      </c>
      <c r="B22" s="186">
        <v>0.05</v>
      </c>
      <c r="C22" s="59"/>
      <c r="D22" s="54"/>
    </row>
    <row r="23" spans="1:6" x14ac:dyDescent="0.25">
      <c r="A23" s="58" t="s">
        <v>66</v>
      </c>
      <c r="B23" s="186">
        <v>0.01</v>
      </c>
      <c r="C23" s="59" t="s">
        <v>67</v>
      </c>
      <c r="D23" s="54"/>
    </row>
    <row r="24" spans="1:6" x14ac:dyDescent="0.25">
      <c r="A24" s="58" t="s">
        <v>68</v>
      </c>
      <c r="B24" s="89">
        <f>(1+$B$22)/(1+$B$23)-1</f>
        <v>3.9603960396039639E-2</v>
      </c>
      <c r="C24" s="59"/>
      <c r="D24" s="54"/>
    </row>
    <row r="25" spans="1:6" x14ac:dyDescent="0.25">
      <c r="A25" s="58" t="s">
        <v>60</v>
      </c>
      <c r="B25" s="63">
        <v>15</v>
      </c>
      <c r="C25" s="59" t="s">
        <v>61</v>
      </c>
      <c r="D25" s="54"/>
    </row>
    <row r="26" spans="1:6" ht="27.6" x14ac:dyDescent="0.25">
      <c r="A26" s="58" t="s">
        <v>120</v>
      </c>
      <c r="B26" s="98">
        <f>($B$21*((1-(1+$B$24)^(-$B$25))/$B$24))</f>
        <v>60468620.066947721</v>
      </c>
      <c r="C26" s="59" t="s">
        <v>62</v>
      </c>
      <c r="D26" s="54"/>
    </row>
    <row r="27" spans="1:6" ht="14.4" thickBot="1" x14ac:dyDescent="0.3">
      <c r="A27" s="66" t="s">
        <v>97</v>
      </c>
      <c r="B27" s="99">
        <f>-$B$19+($B$21*((1-(1+$B$24)^(-$B$25))/$B$24))</f>
        <v>32231980.066947721</v>
      </c>
      <c r="C27" s="67" t="s">
        <v>36</v>
      </c>
      <c r="D27" s="54"/>
    </row>
    <row r="28" spans="1:6" x14ac:dyDescent="0.25">
      <c r="A28" s="64"/>
      <c r="B28" s="85"/>
      <c r="C28" s="61"/>
      <c r="D28" s="54"/>
    </row>
    <row r="29" spans="1:6" ht="14.4" thickBot="1" x14ac:dyDescent="0.3">
      <c r="A29" s="64"/>
      <c r="B29" s="64"/>
      <c r="C29" s="61"/>
      <c r="D29" s="54"/>
    </row>
    <row r="30" spans="1:6" ht="15" x14ac:dyDescent="0.25">
      <c r="A30" s="72" t="s">
        <v>83</v>
      </c>
      <c r="B30" s="73"/>
      <c r="C30" s="73"/>
      <c r="D30" s="73"/>
      <c r="E30" s="73"/>
      <c r="F30" s="74"/>
    </row>
    <row r="31" spans="1:6" s="17" customFormat="1" ht="15" x14ac:dyDescent="0.25">
      <c r="A31" s="68" t="s">
        <v>2</v>
      </c>
      <c r="B31" s="69" t="s">
        <v>6</v>
      </c>
      <c r="C31" s="70" t="s">
        <v>5</v>
      </c>
      <c r="D31" s="70" t="s">
        <v>22</v>
      </c>
      <c r="E31" s="70" t="s">
        <v>4</v>
      </c>
      <c r="F31" s="71" t="s">
        <v>3</v>
      </c>
    </row>
    <row r="32" spans="1:6" x14ac:dyDescent="0.25">
      <c r="A32" s="18" t="s">
        <v>7</v>
      </c>
      <c r="B32" s="109"/>
      <c r="C32" s="110"/>
      <c r="D32" s="110"/>
      <c r="E32" s="111"/>
      <c r="F32" s="81"/>
    </row>
    <row r="33" spans="1:6" ht="27.6" x14ac:dyDescent="0.25">
      <c r="A33" s="10" t="s">
        <v>143</v>
      </c>
      <c r="B33" s="109">
        <v>1</v>
      </c>
      <c r="C33" s="110">
        <v>1</v>
      </c>
      <c r="D33" s="110"/>
      <c r="E33" s="111">
        <v>2400000</v>
      </c>
      <c r="F33" s="90">
        <f t="shared" ref="F33:F49" si="0">C33*E33</f>
        <v>2400000</v>
      </c>
    </row>
    <row r="34" spans="1:6" x14ac:dyDescent="0.25">
      <c r="A34" s="20" t="s">
        <v>18</v>
      </c>
      <c r="B34" s="112"/>
      <c r="C34" s="113"/>
      <c r="D34" s="113"/>
      <c r="E34" s="114"/>
      <c r="F34" s="91">
        <f>SUM(F33:F33)</f>
        <v>2400000</v>
      </c>
    </row>
    <row r="35" spans="1:6" x14ac:dyDescent="0.25">
      <c r="A35" s="24" t="s">
        <v>8</v>
      </c>
      <c r="B35" s="115"/>
      <c r="C35" s="116"/>
      <c r="D35" s="116"/>
      <c r="E35" s="117"/>
      <c r="F35" s="81"/>
    </row>
    <row r="36" spans="1:6" x14ac:dyDescent="0.25">
      <c r="A36" s="14" t="s">
        <v>141</v>
      </c>
      <c r="B36" s="109">
        <v>2</v>
      </c>
      <c r="C36" s="110">
        <v>1</v>
      </c>
      <c r="D36" s="110"/>
      <c r="E36" s="111">
        <v>14110000</v>
      </c>
      <c r="F36" s="90">
        <f t="shared" si="0"/>
        <v>14110000</v>
      </c>
    </row>
    <row r="37" spans="1:6" x14ac:dyDescent="0.25">
      <c r="A37" s="14" t="s">
        <v>142</v>
      </c>
      <c r="B37" s="109">
        <v>3</v>
      </c>
      <c r="C37" s="110">
        <v>1</v>
      </c>
      <c r="D37" s="110"/>
      <c r="E37" s="111">
        <v>150000</v>
      </c>
      <c r="F37" s="90">
        <f t="shared" si="0"/>
        <v>150000</v>
      </c>
    </row>
    <row r="38" spans="1:6" x14ac:dyDescent="0.25">
      <c r="A38" s="20" t="s">
        <v>18</v>
      </c>
      <c r="B38" s="112"/>
      <c r="C38" s="113"/>
      <c r="D38" s="113"/>
      <c r="E38" s="114"/>
      <c r="F38" s="91">
        <f>SUM(F36:F37)</f>
        <v>14260000</v>
      </c>
    </row>
    <row r="39" spans="1:6" x14ac:dyDescent="0.25">
      <c r="A39" s="24" t="s">
        <v>9</v>
      </c>
      <c r="B39" s="115"/>
      <c r="C39" s="116"/>
      <c r="D39" s="116"/>
      <c r="E39" s="117"/>
      <c r="F39" s="81"/>
    </row>
    <row r="40" spans="1:6" x14ac:dyDescent="0.25">
      <c r="A40" s="14" t="s">
        <v>10</v>
      </c>
      <c r="B40" s="109">
        <v>4</v>
      </c>
      <c r="C40" s="110">
        <v>1</v>
      </c>
      <c r="D40" s="110"/>
      <c r="E40" s="111">
        <v>725000</v>
      </c>
      <c r="F40" s="90">
        <f t="shared" si="0"/>
        <v>725000</v>
      </c>
    </row>
    <row r="41" spans="1:6" x14ac:dyDescent="0.25">
      <c r="A41" s="14" t="s">
        <v>11</v>
      </c>
      <c r="B41" s="109">
        <v>5</v>
      </c>
      <c r="C41" s="110">
        <v>1</v>
      </c>
      <c r="D41" s="110"/>
      <c r="E41" s="111">
        <v>1800000</v>
      </c>
      <c r="F41" s="90">
        <f t="shared" si="0"/>
        <v>1800000</v>
      </c>
    </row>
    <row r="42" spans="1:6" x14ac:dyDescent="0.25">
      <c r="A42" s="20" t="s">
        <v>19</v>
      </c>
      <c r="B42" s="112"/>
      <c r="C42" s="113"/>
      <c r="D42" s="113"/>
      <c r="E42" s="114"/>
      <c r="F42" s="91">
        <f>SUM(F40:F41)</f>
        <v>2525000</v>
      </c>
    </row>
    <row r="43" spans="1:6" x14ac:dyDescent="0.25">
      <c r="A43" s="24" t="s">
        <v>17</v>
      </c>
      <c r="B43" s="115"/>
      <c r="C43" s="116"/>
      <c r="D43" s="116"/>
      <c r="E43" s="117"/>
      <c r="F43" s="81"/>
    </row>
    <row r="44" spans="1:6" x14ac:dyDescent="0.25">
      <c r="A44" s="14" t="s">
        <v>133</v>
      </c>
      <c r="B44" s="109">
        <v>6</v>
      </c>
      <c r="C44" s="110">
        <v>1</v>
      </c>
      <c r="D44" s="110"/>
      <c r="E44" s="111">
        <v>2356000</v>
      </c>
      <c r="F44" s="90">
        <f t="shared" si="0"/>
        <v>2356000</v>
      </c>
    </row>
    <row r="45" spans="1:6" x14ac:dyDescent="0.25">
      <c r="A45" s="14" t="s">
        <v>144</v>
      </c>
      <c r="B45" s="109">
        <v>7</v>
      </c>
      <c r="C45" s="110">
        <v>1</v>
      </c>
      <c r="D45" s="110"/>
      <c r="E45" s="111">
        <v>2166000</v>
      </c>
      <c r="F45" s="90">
        <f t="shared" si="0"/>
        <v>2166000</v>
      </c>
    </row>
    <row r="46" spans="1:6" x14ac:dyDescent="0.25">
      <c r="A46" s="14" t="s">
        <v>134</v>
      </c>
      <c r="B46" s="109">
        <v>8</v>
      </c>
      <c r="C46" s="110">
        <v>1</v>
      </c>
      <c r="D46" s="110"/>
      <c r="E46" s="111">
        <v>1477640</v>
      </c>
      <c r="F46" s="90">
        <f t="shared" si="0"/>
        <v>1477640</v>
      </c>
    </row>
    <row r="47" spans="1:6" x14ac:dyDescent="0.25">
      <c r="A47" s="14" t="s">
        <v>135</v>
      </c>
      <c r="B47" s="109">
        <v>9</v>
      </c>
      <c r="C47" s="110">
        <v>1</v>
      </c>
      <c r="D47" s="110"/>
      <c r="E47" s="111">
        <v>12000</v>
      </c>
      <c r="F47" s="90">
        <f t="shared" si="0"/>
        <v>12000</v>
      </c>
    </row>
    <row r="48" spans="1:6" x14ac:dyDescent="0.25">
      <c r="A48" s="14" t="s">
        <v>136</v>
      </c>
      <c r="B48" s="109">
        <v>10</v>
      </c>
      <c r="C48" s="110">
        <v>1</v>
      </c>
      <c r="D48" s="110"/>
      <c r="E48" s="111">
        <v>76000</v>
      </c>
      <c r="F48" s="90">
        <f t="shared" si="0"/>
        <v>76000</v>
      </c>
    </row>
    <row r="49" spans="1:6" x14ac:dyDescent="0.25">
      <c r="A49" s="14" t="s">
        <v>137</v>
      </c>
      <c r="B49" s="109">
        <v>11</v>
      </c>
      <c r="C49" s="110">
        <v>1</v>
      </c>
      <c r="D49" s="110"/>
      <c r="E49" s="111">
        <v>1383000</v>
      </c>
      <c r="F49" s="90">
        <f t="shared" si="0"/>
        <v>1383000</v>
      </c>
    </row>
    <row r="50" spans="1:6" x14ac:dyDescent="0.25">
      <c r="A50" s="20" t="s">
        <v>20</v>
      </c>
      <c r="B50" s="112"/>
      <c r="C50" s="113"/>
      <c r="D50" s="113"/>
      <c r="E50" s="114"/>
      <c r="F50" s="91">
        <f>SUM(F44:F49)</f>
        <v>7470640</v>
      </c>
    </row>
    <row r="51" spans="1:6" x14ac:dyDescent="0.25">
      <c r="A51" s="24" t="s">
        <v>12</v>
      </c>
      <c r="B51" s="115"/>
      <c r="C51" s="116"/>
      <c r="D51" s="116"/>
      <c r="E51" s="117"/>
      <c r="F51" s="82"/>
    </row>
    <row r="52" spans="1:6" x14ac:dyDescent="0.25">
      <c r="A52" s="14" t="s">
        <v>13</v>
      </c>
      <c r="B52" s="109">
        <v>12</v>
      </c>
      <c r="C52" s="110">
        <v>1</v>
      </c>
      <c r="D52" s="110"/>
      <c r="E52" s="111">
        <f>12000*9.5</f>
        <v>114000</v>
      </c>
      <c r="F52" s="90">
        <f t="shared" ref="F52:F56" si="1">C52*E52</f>
        <v>114000</v>
      </c>
    </row>
    <row r="53" spans="1:6" x14ac:dyDescent="0.25">
      <c r="A53" s="14" t="s">
        <v>140</v>
      </c>
      <c r="B53" s="109">
        <v>13</v>
      </c>
      <c r="C53" s="110">
        <v>1</v>
      </c>
      <c r="D53" s="110"/>
      <c r="E53" s="111">
        <v>10000</v>
      </c>
      <c r="F53" s="90">
        <f t="shared" si="1"/>
        <v>10000</v>
      </c>
    </row>
    <row r="54" spans="1:6" x14ac:dyDescent="0.25">
      <c r="A54" s="14" t="s">
        <v>14</v>
      </c>
      <c r="B54" s="109">
        <v>14</v>
      </c>
      <c r="C54" s="110">
        <v>1</v>
      </c>
      <c r="D54" s="110"/>
      <c r="E54" s="111">
        <v>125000</v>
      </c>
      <c r="F54" s="90">
        <f t="shared" si="1"/>
        <v>125000</v>
      </c>
    </row>
    <row r="55" spans="1:6" x14ac:dyDescent="0.25">
      <c r="A55" s="14" t="s">
        <v>15</v>
      </c>
      <c r="B55" s="109">
        <v>15</v>
      </c>
      <c r="C55" s="110">
        <v>1</v>
      </c>
      <c r="D55" s="110"/>
      <c r="E55" s="111">
        <v>100000</v>
      </c>
      <c r="F55" s="90">
        <f t="shared" si="1"/>
        <v>100000</v>
      </c>
    </row>
    <row r="56" spans="1:6" x14ac:dyDescent="0.25">
      <c r="A56" s="14" t="s">
        <v>145</v>
      </c>
      <c r="B56" s="109">
        <v>16</v>
      </c>
      <c r="C56" s="110">
        <v>1</v>
      </c>
      <c r="D56" s="110"/>
      <c r="E56" s="111">
        <v>1510000</v>
      </c>
      <c r="F56" s="90">
        <f t="shared" si="1"/>
        <v>1510000</v>
      </c>
    </row>
    <row r="57" spans="1:6" x14ac:dyDescent="0.25">
      <c r="A57" s="20" t="s">
        <v>21</v>
      </c>
      <c r="B57" s="112"/>
      <c r="C57" s="113"/>
      <c r="D57" s="113"/>
      <c r="E57" s="114"/>
      <c r="F57" s="91">
        <f>SUM(F52:F56)</f>
        <v>1859000</v>
      </c>
    </row>
    <row r="58" spans="1:6" x14ac:dyDescent="0.25">
      <c r="A58" s="24" t="s">
        <v>69</v>
      </c>
      <c r="B58" s="115"/>
      <c r="C58" s="116"/>
      <c r="D58" s="116"/>
      <c r="E58" s="117"/>
      <c r="F58" s="82"/>
    </row>
    <row r="59" spans="1:6" x14ac:dyDescent="0.25">
      <c r="A59" s="14" t="s">
        <v>16</v>
      </c>
      <c r="B59" s="109">
        <v>17</v>
      </c>
      <c r="C59" s="110">
        <v>1</v>
      </c>
      <c r="D59" s="110"/>
      <c r="E59" s="111">
        <v>360000</v>
      </c>
      <c r="F59" s="90">
        <f>C59*E59</f>
        <v>360000</v>
      </c>
    </row>
    <row r="60" spans="1:6" x14ac:dyDescent="0.25">
      <c r="A60" s="14" t="s">
        <v>71</v>
      </c>
      <c r="B60" s="109">
        <v>18</v>
      </c>
      <c r="C60" s="97">
        <f>$B$22</f>
        <v>0.05</v>
      </c>
      <c r="D60" s="110"/>
      <c r="E60" s="111">
        <v>11200000</v>
      </c>
      <c r="F60" s="90">
        <v>562000</v>
      </c>
    </row>
    <row r="61" spans="1:6" x14ac:dyDescent="0.25">
      <c r="A61" s="20" t="s">
        <v>70</v>
      </c>
      <c r="B61" s="21"/>
      <c r="C61" s="22"/>
      <c r="D61" s="22"/>
      <c r="E61" s="23"/>
      <c r="F61" s="91">
        <f>SUM(F59:F60)</f>
        <v>922000</v>
      </c>
    </row>
    <row r="62" spans="1:6" x14ac:dyDescent="0.25">
      <c r="A62" s="26" t="s">
        <v>121</v>
      </c>
      <c r="B62" s="25"/>
      <c r="C62" s="27"/>
      <c r="D62" s="27"/>
      <c r="E62" s="28"/>
      <c r="F62" s="92">
        <f>$F$34+$F$38+$F$42+$F$50+$F$57+$F$61</f>
        <v>29436640</v>
      </c>
    </row>
    <row r="63" spans="1:6" s="46" customFormat="1" x14ac:dyDescent="0.25">
      <c r="A63" s="42" t="s">
        <v>56</v>
      </c>
      <c r="B63" s="43"/>
      <c r="C63" s="44"/>
      <c r="D63" s="44"/>
      <c r="E63" s="45"/>
      <c r="F63" s="93">
        <f>IF(($F$62*0.4)&lt;1200000,-$F$62*0.4,-1200000)</f>
        <v>-1200000</v>
      </c>
    </row>
    <row r="64" spans="1:6" s="9" customFormat="1" x14ac:dyDescent="0.25">
      <c r="A64" s="55" t="s">
        <v>63</v>
      </c>
      <c r="B64" s="21"/>
      <c r="C64" s="56"/>
      <c r="D64" s="56"/>
      <c r="E64" s="57"/>
      <c r="F64" s="94">
        <f>$F$62+$F$63</f>
        <v>28236640</v>
      </c>
    </row>
    <row r="65" spans="1:6" s="9" customFormat="1" x14ac:dyDescent="0.25">
      <c r="A65" s="29" t="s">
        <v>57</v>
      </c>
      <c r="B65" s="19"/>
      <c r="C65" s="30"/>
      <c r="D65" s="30"/>
      <c r="E65" s="31"/>
      <c r="F65" s="95">
        <f>$F$62/$B$13</f>
        <v>51916.472663139328</v>
      </c>
    </row>
    <row r="66" spans="1:6" x14ac:dyDescent="0.25">
      <c r="A66" s="29" t="s">
        <v>64</v>
      </c>
      <c r="B66" s="19"/>
      <c r="C66" s="30"/>
      <c r="D66" s="30"/>
      <c r="E66" s="31"/>
      <c r="F66" s="95">
        <f>($F$62+$F$63)/$B$13</f>
        <v>49800.07054673721</v>
      </c>
    </row>
    <row r="67" spans="1:6" x14ac:dyDescent="0.25">
      <c r="A67" s="32" t="s">
        <v>24</v>
      </c>
      <c r="B67" s="187"/>
      <c r="C67" s="188"/>
      <c r="D67" s="188"/>
      <c r="E67" s="189"/>
      <c r="F67" s="190"/>
    </row>
    <row r="68" spans="1:6" ht="14.4" thickBot="1" x14ac:dyDescent="0.3">
      <c r="A68" s="33" t="s">
        <v>122</v>
      </c>
      <c r="B68" s="34"/>
      <c r="C68" s="35"/>
      <c r="D68" s="35"/>
      <c r="E68" s="35"/>
      <c r="F68" s="96">
        <f>$F$62+$F$67</f>
        <v>29436640</v>
      </c>
    </row>
    <row r="73" spans="1:6" x14ac:dyDescent="0.25">
      <c r="A73" s="58"/>
      <c r="B73" s="60"/>
      <c r="C73" s="60"/>
      <c r="D73" s="54"/>
    </row>
  </sheetData>
  <dataValidations disablePrompts="1" count="1">
    <dataValidation type="list" allowBlank="1" showInputMessage="1" showErrorMessage="1" promptTitle="Välj djurslag" sqref="C13">
      <formula1>Djurslag</formula1>
    </dataValidation>
  </dataValidation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1:AR77"/>
  <sheetViews>
    <sheetView tabSelected="1" topLeftCell="A4" zoomScale="110" zoomScaleNormal="110" workbookViewId="0">
      <selection activeCell="E22" sqref="E22"/>
    </sheetView>
  </sheetViews>
  <sheetFormatPr defaultColWidth="9.109375" defaultRowHeight="13.8" x14ac:dyDescent="0.25"/>
  <cols>
    <col min="1" max="1" width="31.6640625" style="138" customWidth="1"/>
    <col min="2" max="2" width="14.109375" style="138" customWidth="1"/>
    <col min="3" max="3" width="14.5546875" style="138" customWidth="1"/>
    <col min="4" max="4" width="9.109375" style="138" customWidth="1"/>
    <col min="5" max="5" width="15.33203125" style="138" customWidth="1"/>
    <col min="6" max="6" width="14.44140625" style="138" bestFit="1" customWidth="1"/>
    <col min="7" max="7" width="18.109375" style="138" customWidth="1"/>
    <col min="8" max="8" width="3" style="138" customWidth="1"/>
    <col min="9" max="16384" width="9.109375" style="138"/>
  </cols>
  <sheetData>
    <row r="1" spans="1:29" ht="27.6" x14ac:dyDescent="0.45">
      <c r="A1" s="146" t="s">
        <v>103</v>
      </c>
    </row>
    <row r="2" spans="1:29" ht="14.4" thickBot="1" x14ac:dyDescent="0.3"/>
    <row r="3" spans="1:29" x14ac:dyDescent="0.25">
      <c r="A3" s="147" t="s">
        <v>48</v>
      </c>
      <c r="B3" s="148"/>
      <c r="C3" s="149"/>
    </row>
    <row r="4" spans="1:29" ht="14.4" thickBot="1" x14ac:dyDescent="0.3">
      <c r="A4" s="124" t="s">
        <v>146</v>
      </c>
      <c r="B4" s="150">
        <v>545</v>
      </c>
      <c r="C4" s="151" t="s">
        <v>95</v>
      </c>
      <c r="D4" s="152"/>
    </row>
    <row r="5" spans="1:29" ht="15.75" customHeight="1" thickBot="1" x14ac:dyDescent="0.3">
      <c r="A5" s="153"/>
      <c r="B5" s="154"/>
      <c r="C5" s="155"/>
      <c r="D5" s="152"/>
    </row>
    <row r="6" spans="1:29" x14ac:dyDescent="0.25">
      <c r="A6" s="192" t="s">
        <v>53</v>
      </c>
      <c r="B6" s="134"/>
    </row>
    <row r="7" spans="1:29" ht="14.4" thickBot="1" x14ac:dyDescent="0.3">
      <c r="A7" s="123" t="s">
        <v>101</v>
      </c>
      <c r="B7" s="84">
        <f>$B$13*$B$4</f>
        <v>2508511.9590198277</v>
      </c>
    </row>
    <row r="8" spans="1:29" x14ac:dyDescent="0.25">
      <c r="A8" s="124" t="s">
        <v>102</v>
      </c>
      <c r="B8" s="196">
        <f>$B$7/$G$26</f>
        <v>0.11517142659516068</v>
      </c>
    </row>
    <row r="9" spans="1:29" ht="14.4" thickBot="1" x14ac:dyDescent="0.3">
      <c r="A9" s="125" t="s">
        <v>108</v>
      </c>
      <c r="B9" s="126">
        <f>$F$57*$B$4</f>
        <v>3369190</v>
      </c>
    </row>
    <row r="10" spans="1:29" ht="15" customHeight="1" x14ac:dyDescent="0.25">
      <c r="A10" s="192" t="s">
        <v>109</v>
      </c>
      <c r="B10" s="191"/>
    </row>
    <row r="11" spans="1:29" ht="18.75" customHeight="1" x14ac:dyDescent="0.25">
      <c r="A11" s="127" t="s">
        <v>75</v>
      </c>
      <c r="B11" s="83">
        <f>$F$26-$F$48</f>
        <v>17388.507798165141</v>
      </c>
    </row>
    <row r="12" spans="1:29" x14ac:dyDescent="0.25">
      <c r="A12" s="127" t="s">
        <v>76</v>
      </c>
      <c r="B12" s="83">
        <f>$F$26-$F$48-$F$53</f>
        <v>15941.033226469594</v>
      </c>
    </row>
    <row r="13" spans="1:29" ht="14.4" thickBot="1" x14ac:dyDescent="0.3">
      <c r="A13" s="123" t="s">
        <v>77</v>
      </c>
      <c r="B13" s="84">
        <f>$F$26-$F$48-$F53-$F$59</f>
        <v>4602.7742367336286</v>
      </c>
    </row>
    <row r="14" spans="1:29" s="140" customFormat="1" ht="12.15" customHeight="1" x14ac:dyDescent="0.25">
      <c r="A14" s="121"/>
      <c r="B14" s="119"/>
      <c r="C14" s="135"/>
      <c r="D14" s="135"/>
      <c r="E14" s="136"/>
      <c r="F14" s="136"/>
      <c r="G14" s="137"/>
      <c r="H14" s="138"/>
      <c r="I14" s="137"/>
      <c r="J14" s="137"/>
      <c r="K14" s="137"/>
      <c r="L14" s="137"/>
      <c r="M14" s="137"/>
      <c r="N14" s="137"/>
      <c r="Q14" s="141"/>
      <c r="R14" s="141"/>
      <c r="S14" s="141"/>
      <c r="T14" s="141"/>
      <c r="U14" s="142"/>
      <c r="V14" s="142"/>
      <c r="W14" s="142"/>
      <c r="X14" s="142"/>
      <c r="Y14" s="142"/>
      <c r="Z14" s="142"/>
      <c r="AA14" s="142"/>
      <c r="AB14" s="142"/>
      <c r="AC14" s="142"/>
    </row>
    <row r="15" spans="1:29" s="140" customFormat="1" ht="12.15" customHeight="1" x14ac:dyDescent="0.25">
      <c r="A15" s="143"/>
      <c r="B15" s="144"/>
      <c r="C15" s="145"/>
      <c r="D15" s="145"/>
      <c r="E15" s="145"/>
      <c r="F15" s="145"/>
      <c r="G15" s="137"/>
      <c r="H15" s="138"/>
      <c r="I15" s="137"/>
      <c r="J15" s="137"/>
      <c r="K15" s="137"/>
      <c r="L15" s="137"/>
      <c r="M15" s="137"/>
      <c r="N15" s="137"/>
      <c r="Q15" s="141"/>
      <c r="R15" s="141"/>
      <c r="S15" s="141"/>
      <c r="T15" s="141"/>
      <c r="U15" s="142"/>
      <c r="V15" s="142"/>
      <c r="W15" s="142"/>
      <c r="X15" s="142"/>
      <c r="Y15" s="142"/>
      <c r="Z15" s="142"/>
      <c r="AA15" s="142"/>
      <c r="AB15" s="142"/>
      <c r="AC15" s="142"/>
    </row>
    <row r="16" spans="1:29" s="140" customFormat="1" ht="27.6" x14ac:dyDescent="0.25">
      <c r="A16" s="156" t="s">
        <v>86</v>
      </c>
      <c r="B16" s="157" t="s">
        <v>6</v>
      </c>
      <c r="C16" s="158" t="s">
        <v>110</v>
      </c>
      <c r="D16" s="158" t="s">
        <v>22</v>
      </c>
      <c r="E16" s="158" t="s">
        <v>51</v>
      </c>
      <c r="F16" s="158" t="s">
        <v>111</v>
      </c>
      <c r="G16" s="159" t="s">
        <v>73</v>
      </c>
      <c r="H16" s="138"/>
      <c r="I16" s="137"/>
      <c r="J16" s="137"/>
      <c r="K16" s="137"/>
      <c r="L16" s="137"/>
      <c r="M16" s="137"/>
      <c r="N16" s="137"/>
      <c r="Q16" s="141"/>
      <c r="R16" s="141"/>
      <c r="S16" s="141"/>
      <c r="T16" s="141"/>
      <c r="U16" s="142"/>
      <c r="V16" s="142"/>
      <c r="W16" s="142"/>
      <c r="X16" s="142"/>
      <c r="Y16" s="142"/>
      <c r="Z16" s="142"/>
      <c r="AA16" s="142"/>
      <c r="AB16" s="142"/>
      <c r="AC16" s="142"/>
    </row>
    <row r="17" spans="1:44" s="140" customFormat="1" x14ac:dyDescent="0.25">
      <c r="A17" s="62" t="s">
        <v>112</v>
      </c>
      <c r="B17" s="41">
        <v>1</v>
      </c>
      <c r="C17" s="39">
        <v>11900</v>
      </c>
      <c r="D17" s="36" t="s">
        <v>39</v>
      </c>
      <c r="E17" s="50">
        <v>2.4</v>
      </c>
      <c r="F17" s="128">
        <f>C17*E17</f>
        <v>28560</v>
      </c>
      <c r="G17" s="128">
        <f t="shared" ref="G17:G24" si="0">F17*$B$4</f>
        <v>15565200</v>
      </c>
      <c r="H17" s="138"/>
      <c r="I17" s="137"/>
      <c r="J17" s="137"/>
      <c r="K17" s="137"/>
      <c r="L17" s="137"/>
      <c r="M17" s="137"/>
      <c r="N17" s="137"/>
      <c r="Q17" s="141"/>
      <c r="R17" s="141"/>
      <c r="S17" s="141"/>
      <c r="T17" s="141"/>
      <c r="U17" s="142"/>
      <c r="V17" s="142"/>
      <c r="W17" s="142"/>
      <c r="X17" s="142"/>
      <c r="Y17" s="142"/>
      <c r="Z17" s="142"/>
      <c r="AA17" s="142"/>
      <c r="AB17" s="142"/>
      <c r="AC17" s="142"/>
    </row>
    <row r="18" spans="1:44" s="140" customFormat="1" x14ac:dyDescent="0.25">
      <c r="A18" s="62" t="s">
        <v>138</v>
      </c>
      <c r="B18" s="41">
        <v>1</v>
      </c>
      <c r="C18" s="39">
        <v>11900</v>
      </c>
      <c r="D18" s="36" t="s">
        <v>39</v>
      </c>
      <c r="E18" s="50">
        <v>9.7000000000000003E-2</v>
      </c>
      <c r="F18" s="128">
        <f>C18*E18</f>
        <v>1154.3</v>
      </c>
      <c r="G18" s="128">
        <f t="shared" ref="G18" si="1">F18*$B$4</f>
        <v>629093.5</v>
      </c>
      <c r="H18" s="138"/>
      <c r="I18" s="137"/>
      <c r="J18" s="137"/>
      <c r="K18" s="137"/>
      <c r="L18" s="137"/>
      <c r="M18" s="137"/>
      <c r="N18" s="137"/>
      <c r="Q18" s="141"/>
      <c r="R18" s="141"/>
      <c r="S18" s="141"/>
      <c r="T18" s="141"/>
      <c r="U18" s="142"/>
      <c r="V18" s="142"/>
      <c r="W18" s="142"/>
      <c r="X18" s="142"/>
      <c r="Y18" s="142"/>
      <c r="Z18" s="142"/>
      <c r="AA18" s="142"/>
      <c r="AB18" s="142"/>
      <c r="AC18" s="142"/>
    </row>
    <row r="19" spans="1:44" s="140" customFormat="1" x14ac:dyDescent="0.25">
      <c r="A19" s="62" t="s">
        <v>113</v>
      </c>
      <c r="B19" s="41">
        <v>2</v>
      </c>
      <c r="C19" s="38">
        <f>0.5*0.97</f>
        <v>0.48499999999999999</v>
      </c>
      <c r="D19" s="40" t="s">
        <v>37</v>
      </c>
      <c r="E19" s="195">
        <v>3300</v>
      </c>
      <c r="F19" s="128">
        <f>C19*E19</f>
        <v>1600.5</v>
      </c>
      <c r="G19" s="128">
        <f t="shared" si="0"/>
        <v>872272.5</v>
      </c>
      <c r="H19" s="138"/>
      <c r="I19" s="137"/>
      <c r="J19" s="137"/>
      <c r="K19" s="137"/>
      <c r="L19" s="137"/>
      <c r="M19" s="137"/>
      <c r="N19" s="180"/>
      <c r="Q19" s="141"/>
      <c r="R19" s="141"/>
      <c r="S19" s="141"/>
      <c r="T19" s="141"/>
      <c r="U19" s="142"/>
      <c r="V19" s="142"/>
      <c r="W19" s="142"/>
      <c r="X19" s="142"/>
      <c r="Y19" s="142"/>
      <c r="Z19" s="142"/>
      <c r="AA19" s="142"/>
      <c r="AB19" s="142"/>
      <c r="AC19" s="142"/>
    </row>
    <row r="20" spans="1:44" s="140" customFormat="1" x14ac:dyDescent="0.25">
      <c r="A20" s="62" t="s">
        <v>114</v>
      </c>
      <c r="B20" s="41">
        <v>3</v>
      </c>
      <c r="C20" s="38">
        <f>0.5*0.97</f>
        <v>0.48499999999999999</v>
      </c>
      <c r="D20" s="40" t="s">
        <v>37</v>
      </c>
      <c r="E20" s="195">
        <v>3300</v>
      </c>
      <c r="F20" s="128">
        <f t="shared" ref="F20:F24" si="2">C20*E20</f>
        <v>1600.5</v>
      </c>
      <c r="G20" s="128">
        <f t="shared" si="0"/>
        <v>872272.5</v>
      </c>
      <c r="H20" s="138"/>
      <c r="I20" s="137"/>
      <c r="J20" s="137"/>
      <c r="K20" s="137"/>
      <c r="L20" s="137"/>
      <c r="M20" s="137"/>
      <c r="N20" s="180"/>
      <c r="Q20" s="141"/>
      <c r="R20" s="141"/>
      <c r="S20" s="141"/>
      <c r="T20" s="141"/>
      <c r="U20" s="142"/>
      <c r="V20" s="142"/>
      <c r="W20" s="142"/>
      <c r="X20" s="142"/>
      <c r="Y20" s="142"/>
      <c r="Z20" s="142"/>
      <c r="AA20" s="142"/>
      <c r="AB20" s="142"/>
      <c r="AC20" s="142"/>
    </row>
    <row r="21" spans="1:44" s="140" customFormat="1" x14ac:dyDescent="0.25">
      <c r="A21" s="62" t="s">
        <v>107</v>
      </c>
      <c r="B21" s="41">
        <v>4</v>
      </c>
      <c r="C21" s="38">
        <v>0.35</v>
      </c>
      <c r="D21" s="40" t="s">
        <v>37</v>
      </c>
      <c r="E21" s="195">
        <f>650*0.5*43</f>
        <v>13975</v>
      </c>
      <c r="F21" s="128">
        <f t="shared" si="2"/>
        <v>4891.25</v>
      </c>
      <c r="G21" s="128">
        <f t="shared" si="0"/>
        <v>2665731.25</v>
      </c>
      <c r="H21" s="138"/>
      <c r="I21" s="137"/>
      <c r="J21" s="137"/>
      <c r="K21" s="137"/>
      <c r="L21" s="137"/>
      <c r="M21" s="137"/>
      <c r="N21" s="180"/>
      <c r="Q21" s="141"/>
      <c r="R21" s="141"/>
      <c r="S21" s="141"/>
      <c r="T21" s="141"/>
      <c r="U21" s="142"/>
      <c r="V21" s="142"/>
      <c r="W21" s="142"/>
      <c r="X21" s="142"/>
      <c r="Y21" s="142"/>
      <c r="Z21" s="142"/>
      <c r="AA21" s="142"/>
      <c r="AB21" s="142"/>
      <c r="AC21" s="142"/>
    </row>
    <row r="22" spans="1:44" s="140" customFormat="1" x14ac:dyDescent="0.25">
      <c r="A22" s="62" t="s">
        <v>106</v>
      </c>
      <c r="B22" s="41">
        <v>5</v>
      </c>
      <c r="C22" s="37">
        <v>1</v>
      </c>
      <c r="D22" s="40" t="s">
        <v>36</v>
      </c>
      <c r="E22" s="50">
        <v>890</v>
      </c>
      <c r="F22" s="128">
        <f t="shared" si="2"/>
        <v>890</v>
      </c>
      <c r="G22" s="128">
        <f t="shared" si="0"/>
        <v>485050</v>
      </c>
      <c r="H22" s="138"/>
      <c r="I22" s="137"/>
      <c r="J22" s="137"/>
      <c r="K22" s="137"/>
      <c r="L22" s="137"/>
      <c r="M22" s="137"/>
      <c r="N22" s="137"/>
      <c r="Q22" s="141"/>
      <c r="R22" s="141"/>
      <c r="S22" s="141"/>
      <c r="T22" s="141"/>
      <c r="U22" s="142"/>
      <c r="V22" s="142"/>
      <c r="W22" s="142"/>
      <c r="X22" s="142"/>
      <c r="Y22" s="142"/>
      <c r="Z22" s="142"/>
      <c r="AA22" s="142"/>
      <c r="AB22" s="142"/>
      <c r="AC22" s="142"/>
    </row>
    <row r="23" spans="1:44" s="140" customFormat="1" x14ac:dyDescent="0.25">
      <c r="A23" s="62" t="s">
        <v>89</v>
      </c>
      <c r="B23" s="41">
        <v>6</v>
      </c>
      <c r="C23" s="37">
        <v>1</v>
      </c>
      <c r="D23" s="40" t="s">
        <v>36</v>
      </c>
      <c r="E23" s="50">
        <v>718</v>
      </c>
      <c r="F23" s="128">
        <f t="shared" si="2"/>
        <v>718</v>
      </c>
      <c r="G23" s="128">
        <f t="shared" si="0"/>
        <v>391310</v>
      </c>
      <c r="H23" s="138"/>
      <c r="I23" s="137"/>
      <c r="J23" s="137"/>
      <c r="K23" s="137"/>
      <c r="L23" s="137"/>
      <c r="M23" s="137"/>
      <c r="N23" s="137"/>
      <c r="Q23" s="141"/>
      <c r="R23" s="141"/>
      <c r="S23" s="141"/>
      <c r="T23" s="141"/>
      <c r="U23" s="142"/>
      <c r="V23" s="142"/>
      <c r="W23" s="142"/>
      <c r="X23" s="142"/>
      <c r="Y23" s="142"/>
      <c r="Z23" s="142"/>
      <c r="AA23" s="142"/>
      <c r="AB23" s="142"/>
      <c r="AC23" s="142"/>
    </row>
    <row r="24" spans="1:44" s="140" customFormat="1" x14ac:dyDescent="0.25">
      <c r="A24" s="62" t="s">
        <v>88</v>
      </c>
      <c r="B24" s="41">
        <v>7</v>
      </c>
      <c r="C24" s="37">
        <v>22</v>
      </c>
      <c r="D24" s="40" t="s">
        <v>38</v>
      </c>
      <c r="E24" s="50">
        <v>25</v>
      </c>
      <c r="F24" s="128">
        <f t="shared" si="2"/>
        <v>550</v>
      </c>
      <c r="G24" s="128">
        <f t="shared" si="0"/>
        <v>299750</v>
      </c>
      <c r="H24" s="138"/>
      <c r="I24" s="137"/>
      <c r="J24" s="137"/>
      <c r="K24" s="137"/>
      <c r="L24" s="137"/>
      <c r="M24" s="137"/>
      <c r="N24" s="137"/>
      <c r="Q24" s="141"/>
      <c r="R24" s="141"/>
      <c r="S24" s="141"/>
      <c r="T24" s="141"/>
      <c r="U24" s="142"/>
      <c r="V24" s="142"/>
      <c r="W24" s="142"/>
      <c r="X24" s="142"/>
      <c r="Y24" s="142"/>
      <c r="Z24" s="142"/>
      <c r="AA24" s="142"/>
      <c r="AB24" s="142"/>
      <c r="AC24" s="142"/>
      <c r="AR24" s="137"/>
    </row>
    <row r="25" spans="1:44" s="140" customFormat="1" x14ac:dyDescent="0.25">
      <c r="A25" s="62"/>
      <c r="B25" s="41"/>
      <c r="C25" s="37"/>
      <c r="D25" s="40"/>
      <c r="E25" s="50"/>
      <c r="F25" s="128"/>
      <c r="G25" s="128"/>
      <c r="H25" s="138"/>
      <c r="I25" s="137"/>
      <c r="J25" s="137"/>
      <c r="K25" s="137"/>
      <c r="L25" s="137"/>
      <c r="M25" s="137"/>
      <c r="N25" s="137"/>
      <c r="Q25" s="141"/>
      <c r="R25" s="141"/>
      <c r="S25" s="141"/>
      <c r="T25" s="141"/>
      <c r="U25" s="142"/>
      <c r="V25" s="142"/>
      <c r="W25" s="142"/>
      <c r="X25" s="142"/>
      <c r="Y25" s="142"/>
      <c r="Z25" s="142"/>
      <c r="AA25" s="142"/>
      <c r="AB25" s="142"/>
      <c r="AC25" s="142"/>
      <c r="AR25" s="137"/>
    </row>
    <row r="26" spans="1:44" s="140" customFormat="1" x14ac:dyDescent="0.25">
      <c r="A26" s="161" t="s">
        <v>74</v>
      </c>
      <c r="B26" s="162"/>
      <c r="C26" s="163"/>
      <c r="D26" s="164"/>
      <c r="E26" s="165"/>
      <c r="F26" s="51">
        <f>SUM(F17:F25)</f>
        <v>39964.550000000003</v>
      </c>
      <c r="G26" s="51">
        <f>SUM(G17:G25)</f>
        <v>21780679.75</v>
      </c>
      <c r="H26" s="138"/>
      <c r="I26" s="137"/>
      <c r="J26" s="137"/>
      <c r="K26" s="137"/>
      <c r="L26" s="137"/>
      <c r="M26" s="137"/>
      <c r="N26" s="137"/>
      <c r="Q26" s="141"/>
      <c r="R26" s="141"/>
      <c r="S26" s="141"/>
      <c r="T26" s="141"/>
      <c r="U26" s="142"/>
      <c r="V26" s="142"/>
      <c r="W26" s="142"/>
      <c r="X26" s="142"/>
      <c r="Y26" s="142"/>
      <c r="Z26" s="142"/>
      <c r="AA26" s="142"/>
      <c r="AB26" s="142"/>
      <c r="AC26" s="142"/>
      <c r="AR26" s="137"/>
    </row>
    <row r="27" spans="1:44" s="140" customFormat="1" x14ac:dyDescent="0.25">
      <c r="A27" s="166"/>
      <c r="B27" s="118"/>
      <c r="C27" s="167"/>
      <c r="D27" s="144"/>
      <c r="E27" s="168"/>
      <c r="F27" s="169"/>
      <c r="G27" s="137"/>
      <c r="H27" s="122"/>
      <c r="I27" s="137"/>
      <c r="J27" s="137"/>
      <c r="K27" s="137"/>
      <c r="L27" s="137"/>
      <c r="O27" s="141"/>
      <c r="P27" s="141"/>
      <c r="Q27" s="141"/>
      <c r="R27" s="141"/>
      <c r="S27" s="142"/>
      <c r="T27" s="142"/>
      <c r="U27" s="142"/>
      <c r="V27" s="142"/>
      <c r="W27" s="142"/>
      <c r="X27" s="142"/>
      <c r="Y27" s="142"/>
      <c r="Z27" s="142"/>
      <c r="AA27" s="142"/>
      <c r="AP27" s="137"/>
    </row>
    <row r="28" spans="1:44" s="140" customFormat="1" ht="27.6" x14ac:dyDescent="0.25">
      <c r="A28" s="156" t="s">
        <v>87</v>
      </c>
      <c r="B28" s="157" t="s">
        <v>6</v>
      </c>
      <c r="C28" s="158" t="s">
        <v>110</v>
      </c>
      <c r="D28" s="158" t="s">
        <v>22</v>
      </c>
      <c r="E28" s="158" t="s">
        <v>51</v>
      </c>
      <c r="F28" s="158" t="s">
        <v>111</v>
      </c>
      <c r="G28" s="159" t="s">
        <v>73</v>
      </c>
      <c r="H28" s="122"/>
      <c r="I28" s="137"/>
      <c r="J28" s="137"/>
      <c r="K28" s="137"/>
      <c r="L28" s="137"/>
      <c r="O28" s="141"/>
      <c r="P28" s="141"/>
      <c r="Q28" s="141"/>
      <c r="R28" s="141"/>
      <c r="S28" s="142"/>
      <c r="T28" s="142"/>
      <c r="U28" s="142"/>
      <c r="V28" s="142"/>
      <c r="W28" s="142"/>
      <c r="X28" s="142"/>
      <c r="Y28" s="142"/>
      <c r="Z28" s="142"/>
      <c r="AA28" s="142"/>
      <c r="AP28" s="137"/>
    </row>
    <row r="29" spans="1:44" s="140" customFormat="1" x14ac:dyDescent="0.25">
      <c r="A29" s="62" t="s">
        <v>115</v>
      </c>
      <c r="B29" s="41">
        <v>8</v>
      </c>
      <c r="C29" s="38">
        <v>0.35</v>
      </c>
      <c r="D29" s="36" t="s">
        <v>37</v>
      </c>
      <c r="E29" s="199">
        <v>12500</v>
      </c>
      <c r="F29" s="128">
        <f>C29*E29</f>
        <v>4375</v>
      </c>
      <c r="G29" s="128">
        <f t="shared" ref="G29:G37" si="3">F29*$B$4</f>
        <v>2384375</v>
      </c>
      <c r="H29" s="160"/>
      <c r="I29" s="137"/>
      <c r="J29" s="137"/>
      <c r="K29" s="137"/>
      <c r="L29" s="137"/>
      <c r="O29" s="141"/>
      <c r="P29" s="141"/>
      <c r="Q29" s="141"/>
      <c r="R29" s="141"/>
      <c r="S29" s="142"/>
      <c r="T29" s="142"/>
      <c r="U29" s="142"/>
      <c r="V29" s="142"/>
      <c r="W29" s="142"/>
      <c r="X29" s="142"/>
      <c r="Y29" s="142"/>
      <c r="Z29" s="142"/>
      <c r="AA29" s="142"/>
    </row>
    <row r="30" spans="1:44" s="140" customFormat="1" x14ac:dyDescent="0.25">
      <c r="A30" s="62" t="s">
        <v>126</v>
      </c>
      <c r="B30" s="41">
        <v>9</v>
      </c>
      <c r="C30" s="39">
        <f>6.5*100*365/545</f>
        <v>435.32110091743118</v>
      </c>
      <c r="D30" s="36" t="s">
        <v>39</v>
      </c>
      <c r="E30" s="50">
        <v>2</v>
      </c>
      <c r="F30" s="128">
        <f t="shared" ref="F30:F47" si="4">C30*E30</f>
        <v>870.64220183486236</v>
      </c>
      <c r="G30" s="128">
        <f t="shared" si="3"/>
        <v>474500</v>
      </c>
      <c r="H30" s="139"/>
      <c r="I30" s="137"/>
      <c r="J30" s="137"/>
      <c r="K30" s="137"/>
      <c r="N30" s="141"/>
      <c r="O30" s="141"/>
      <c r="P30" s="141"/>
      <c r="Q30" s="141"/>
      <c r="R30" s="142"/>
      <c r="S30" s="142"/>
      <c r="T30" s="142"/>
      <c r="U30" s="142"/>
      <c r="V30" s="142"/>
      <c r="W30" s="142"/>
      <c r="X30" s="142"/>
      <c r="Y30" s="142"/>
      <c r="Z30" s="142"/>
    </row>
    <row r="31" spans="1:44" s="140" customFormat="1" x14ac:dyDescent="0.25">
      <c r="A31" s="62" t="s">
        <v>90</v>
      </c>
      <c r="B31" s="41">
        <v>10</v>
      </c>
      <c r="C31" s="39">
        <v>5258</v>
      </c>
      <c r="D31" s="36" t="s">
        <v>105</v>
      </c>
      <c r="E31" s="50">
        <v>1.03</v>
      </c>
      <c r="F31" s="128">
        <f t="shared" si="4"/>
        <v>5415.74</v>
      </c>
      <c r="G31" s="128">
        <f t="shared" si="3"/>
        <v>2951578.3</v>
      </c>
      <c r="H31" s="160"/>
      <c r="I31" s="137"/>
      <c r="J31" s="137"/>
      <c r="K31" s="137"/>
      <c r="L31" s="137"/>
      <c r="O31" s="141"/>
      <c r="P31" s="141"/>
      <c r="Q31" s="141"/>
      <c r="R31" s="141"/>
      <c r="S31" s="142"/>
      <c r="T31" s="142"/>
      <c r="U31" s="142"/>
      <c r="V31" s="142"/>
      <c r="W31" s="142"/>
      <c r="X31" s="142"/>
      <c r="Y31" s="142"/>
      <c r="Z31" s="142"/>
      <c r="AA31" s="142"/>
    </row>
    <row r="32" spans="1:44" s="140" customFormat="1" x14ac:dyDescent="0.25">
      <c r="A32" s="62" t="s">
        <v>124</v>
      </c>
      <c r="B32" s="41">
        <v>11</v>
      </c>
      <c r="C32" s="39">
        <v>133</v>
      </c>
      <c r="D32" s="36" t="s">
        <v>105</v>
      </c>
      <c r="E32" s="50">
        <v>1.03</v>
      </c>
      <c r="F32" s="128">
        <f>C32*E32</f>
        <v>136.99</v>
      </c>
      <c r="G32" s="128">
        <f>F32*$B$4</f>
        <v>74659.55</v>
      </c>
      <c r="H32" s="160"/>
      <c r="I32" s="137"/>
      <c r="J32" s="137"/>
      <c r="K32" s="137"/>
      <c r="L32" s="137"/>
      <c r="O32" s="141"/>
      <c r="P32" s="141"/>
      <c r="Q32" s="141"/>
      <c r="R32" s="141"/>
      <c r="S32" s="142"/>
      <c r="T32" s="142"/>
      <c r="U32" s="142"/>
      <c r="V32" s="142"/>
      <c r="W32" s="142"/>
      <c r="X32" s="142"/>
      <c r="Y32" s="142"/>
      <c r="Z32" s="142"/>
      <c r="AA32" s="142"/>
    </row>
    <row r="33" spans="1:27" s="140" customFormat="1" x14ac:dyDescent="0.25">
      <c r="A33" s="62" t="s">
        <v>125</v>
      </c>
      <c r="B33" s="41">
        <v>12</v>
      </c>
      <c r="C33" s="39">
        <v>987</v>
      </c>
      <c r="D33" s="36" t="s">
        <v>105</v>
      </c>
      <c r="E33" s="50">
        <v>1.25</v>
      </c>
      <c r="F33" s="128">
        <f>C33*E33</f>
        <v>1233.75</v>
      </c>
      <c r="G33" s="128">
        <f>F33*$B$4</f>
        <v>672393.75</v>
      </c>
      <c r="H33" s="160"/>
      <c r="I33" s="137"/>
      <c r="J33" s="137"/>
      <c r="K33" s="137"/>
      <c r="L33" s="137"/>
      <c r="O33" s="141"/>
      <c r="P33" s="141"/>
      <c r="Q33" s="141"/>
      <c r="R33" s="141"/>
      <c r="S33" s="142"/>
      <c r="T33" s="142"/>
      <c r="U33" s="142"/>
      <c r="V33" s="142"/>
      <c r="W33" s="142"/>
      <c r="X33" s="142"/>
      <c r="Y33" s="142"/>
      <c r="Z33" s="142"/>
      <c r="AA33" s="142"/>
    </row>
    <row r="34" spans="1:27" s="140" customFormat="1" x14ac:dyDescent="0.25">
      <c r="A34" s="62" t="s">
        <v>91</v>
      </c>
      <c r="B34" s="41">
        <v>13</v>
      </c>
      <c r="C34" s="39">
        <v>2272</v>
      </c>
      <c r="D34" s="36" t="s">
        <v>39</v>
      </c>
      <c r="E34" s="50">
        <v>1.3</v>
      </c>
      <c r="F34" s="128">
        <f t="shared" si="4"/>
        <v>2953.6</v>
      </c>
      <c r="G34" s="128">
        <f t="shared" si="3"/>
        <v>1609712</v>
      </c>
      <c r="H34" s="160"/>
      <c r="I34" s="137"/>
      <c r="J34" s="137"/>
      <c r="K34" s="137"/>
      <c r="L34" s="137"/>
      <c r="O34" s="141"/>
      <c r="P34" s="141"/>
      <c r="Q34" s="141"/>
      <c r="R34" s="141"/>
      <c r="S34" s="142"/>
      <c r="T34" s="142"/>
      <c r="U34" s="142"/>
      <c r="V34" s="142"/>
      <c r="W34" s="142"/>
      <c r="X34" s="142"/>
      <c r="Y34" s="142"/>
      <c r="Z34" s="142"/>
      <c r="AA34" s="142"/>
    </row>
    <row r="35" spans="1:27" s="140" customFormat="1" x14ac:dyDescent="0.25">
      <c r="A35" s="62" t="s">
        <v>118</v>
      </c>
      <c r="B35" s="41">
        <v>14</v>
      </c>
      <c r="C35" s="39">
        <v>1168</v>
      </c>
      <c r="D35" s="36" t="s">
        <v>39</v>
      </c>
      <c r="E35" s="50">
        <v>2.5</v>
      </c>
      <c r="F35" s="128">
        <f t="shared" si="4"/>
        <v>2920</v>
      </c>
      <c r="G35" s="128">
        <f t="shared" si="3"/>
        <v>1591400</v>
      </c>
      <c r="H35" s="160"/>
      <c r="I35" s="137"/>
      <c r="J35" s="137"/>
      <c r="K35" s="137"/>
      <c r="L35" s="137"/>
      <c r="O35" s="141"/>
      <c r="P35" s="141"/>
      <c r="Q35" s="141"/>
      <c r="R35" s="141"/>
      <c r="S35" s="142"/>
      <c r="T35" s="142"/>
      <c r="U35" s="142"/>
      <c r="V35" s="142"/>
      <c r="W35" s="142"/>
      <c r="X35" s="142"/>
      <c r="Y35" s="142"/>
      <c r="Z35" s="142"/>
      <c r="AA35" s="142"/>
    </row>
    <row r="36" spans="1:27" s="140" customFormat="1" x14ac:dyDescent="0.25">
      <c r="A36" s="62" t="s">
        <v>149</v>
      </c>
      <c r="B36" s="41">
        <v>15</v>
      </c>
      <c r="C36" s="39">
        <v>202</v>
      </c>
      <c r="D36" s="36" t="s">
        <v>39</v>
      </c>
      <c r="E36" s="50">
        <v>2.5</v>
      </c>
      <c r="F36" s="128">
        <f t="shared" si="4"/>
        <v>505</v>
      </c>
      <c r="G36" s="128">
        <f t="shared" si="3"/>
        <v>275225</v>
      </c>
      <c r="H36" s="160"/>
      <c r="I36" s="137"/>
      <c r="J36" s="137"/>
      <c r="K36" s="137"/>
      <c r="L36" s="137"/>
      <c r="O36" s="141"/>
      <c r="P36" s="141"/>
      <c r="Q36" s="141"/>
      <c r="R36" s="141"/>
      <c r="S36" s="142"/>
      <c r="T36" s="142"/>
      <c r="U36" s="142"/>
      <c r="V36" s="142"/>
      <c r="W36" s="142"/>
      <c r="X36" s="142"/>
      <c r="Y36" s="142"/>
      <c r="Z36" s="142"/>
      <c r="AA36" s="142"/>
    </row>
    <row r="37" spans="1:27" s="140" customFormat="1" x14ac:dyDescent="0.25">
      <c r="A37" s="62" t="s">
        <v>92</v>
      </c>
      <c r="B37" s="41">
        <v>16</v>
      </c>
      <c r="C37" s="39">
        <v>37</v>
      </c>
      <c r="D37" s="36" t="s">
        <v>39</v>
      </c>
      <c r="E37" s="50">
        <v>7.1</v>
      </c>
      <c r="F37" s="128">
        <f t="shared" si="4"/>
        <v>262.7</v>
      </c>
      <c r="G37" s="128">
        <f t="shared" si="3"/>
        <v>143171.5</v>
      </c>
      <c r="H37" s="160"/>
      <c r="I37" s="137"/>
      <c r="J37" s="137"/>
      <c r="K37" s="137"/>
      <c r="L37" s="137"/>
      <c r="O37" s="141"/>
      <c r="P37" s="141"/>
      <c r="Q37" s="141"/>
      <c r="R37" s="141"/>
      <c r="S37" s="142"/>
      <c r="T37" s="142"/>
      <c r="U37" s="142"/>
      <c r="V37" s="142"/>
      <c r="W37" s="142"/>
      <c r="X37" s="142"/>
      <c r="Y37" s="142"/>
      <c r="Z37" s="142"/>
      <c r="AA37" s="142"/>
    </row>
    <row r="38" spans="1:27" s="140" customFormat="1" x14ac:dyDescent="0.25">
      <c r="A38" s="62" t="s">
        <v>116</v>
      </c>
      <c r="B38" s="41">
        <v>17</v>
      </c>
      <c r="C38" s="39">
        <v>152</v>
      </c>
      <c r="D38" s="36" t="s">
        <v>39</v>
      </c>
      <c r="E38" s="50">
        <v>0.8</v>
      </c>
      <c r="F38" s="128">
        <f>C38*E38</f>
        <v>121.60000000000001</v>
      </c>
      <c r="G38" s="128">
        <f>F38*$B$4</f>
        <v>66272</v>
      </c>
      <c r="H38" s="160"/>
      <c r="I38" s="137"/>
      <c r="J38" s="137"/>
      <c r="K38" s="137"/>
      <c r="L38" s="137"/>
      <c r="O38" s="141"/>
      <c r="P38" s="141"/>
      <c r="Q38" s="141"/>
      <c r="R38" s="141"/>
      <c r="S38" s="142"/>
      <c r="T38" s="142"/>
      <c r="U38" s="142"/>
      <c r="V38" s="142"/>
      <c r="W38" s="142"/>
      <c r="X38" s="142"/>
      <c r="Y38" s="142"/>
      <c r="Z38" s="142"/>
      <c r="AA38" s="142"/>
    </row>
    <row r="39" spans="1:27" s="140" customFormat="1" x14ac:dyDescent="0.25">
      <c r="A39" s="62" t="s">
        <v>147</v>
      </c>
      <c r="B39" s="41">
        <v>18</v>
      </c>
      <c r="C39" s="39">
        <f>135000/540</f>
        <v>250</v>
      </c>
      <c r="D39" s="36" t="s">
        <v>39</v>
      </c>
      <c r="E39" s="50">
        <v>0.7</v>
      </c>
      <c r="F39" s="128">
        <f t="shared" si="4"/>
        <v>175</v>
      </c>
      <c r="G39" s="128">
        <f t="shared" ref="G39:G58" si="5">F39*$B$4</f>
        <v>95375</v>
      </c>
      <c r="H39" s="160"/>
      <c r="I39" s="137"/>
      <c r="J39" s="137"/>
      <c r="K39" s="137"/>
      <c r="L39" s="137"/>
      <c r="O39" s="141"/>
      <c r="P39" s="141"/>
      <c r="Q39" s="141"/>
      <c r="R39" s="141"/>
      <c r="S39" s="142"/>
      <c r="T39" s="142"/>
      <c r="U39" s="142"/>
      <c r="V39" s="142"/>
      <c r="W39" s="142"/>
      <c r="X39" s="142"/>
      <c r="Y39" s="142"/>
      <c r="Z39" s="142"/>
      <c r="AA39" s="142"/>
    </row>
    <row r="40" spans="1:27" s="140" customFormat="1" x14ac:dyDescent="0.25">
      <c r="A40" s="62" t="s">
        <v>148</v>
      </c>
      <c r="B40" s="41">
        <v>19</v>
      </c>
      <c r="C40" s="39">
        <f>8*365</f>
        <v>2920</v>
      </c>
      <c r="D40" s="36" t="s">
        <v>39</v>
      </c>
      <c r="E40" s="201">
        <v>0.16500000000000001</v>
      </c>
      <c r="F40" s="128">
        <f t="shared" si="4"/>
        <v>481.8</v>
      </c>
      <c r="G40" s="128">
        <f t="shared" si="5"/>
        <v>262581</v>
      </c>
      <c r="H40" s="160"/>
      <c r="I40" s="137"/>
      <c r="J40" s="137"/>
      <c r="K40" s="137"/>
      <c r="L40" s="137"/>
      <c r="O40" s="141"/>
      <c r="P40" s="141"/>
      <c r="Q40" s="141"/>
      <c r="R40" s="141"/>
      <c r="S40" s="142"/>
      <c r="T40" s="142"/>
      <c r="U40" s="142"/>
      <c r="V40" s="142"/>
      <c r="W40" s="142"/>
      <c r="X40" s="142"/>
      <c r="Y40" s="142"/>
      <c r="Z40" s="142"/>
      <c r="AA40" s="142"/>
    </row>
    <row r="41" spans="1:27" s="140" customFormat="1" x14ac:dyDescent="0.25">
      <c r="A41" s="62" t="s">
        <v>40</v>
      </c>
      <c r="B41" s="41">
        <v>20</v>
      </c>
      <c r="C41" s="39">
        <v>1000</v>
      </c>
      <c r="D41" s="36" t="s">
        <v>127</v>
      </c>
      <c r="E41" s="50">
        <v>0.61</v>
      </c>
      <c r="F41" s="128">
        <f t="shared" si="4"/>
        <v>610</v>
      </c>
      <c r="G41" s="128">
        <f t="shared" si="5"/>
        <v>332450</v>
      </c>
      <c r="H41" s="160"/>
      <c r="I41" s="137"/>
      <c r="J41" s="137"/>
      <c r="K41" s="137"/>
      <c r="L41" s="137"/>
      <c r="O41" s="141"/>
      <c r="P41" s="141"/>
      <c r="Q41" s="141"/>
      <c r="R41" s="141"/>
      <c r="S41" s="142"/>
      <c r="T41" s="142"/>
      <c r="U41" s="142"/>
      <c r="V41" s="142"/>
      <c r="W41" s="142"/>
      <c r="X41" s="142"/>
      <c r="Y41" s="142"/>
      <c r="Z41" s="142"/>
      <c r="AA41" s="142"/>
    </row>
    <row r="42" spans="1:27" s="140" customFormat="1" x14ac:dyDescent="0.25">
      <c r="A42" s="62" t="s">
        <v>117</v>
      </c>
      <c r="B42" s="41">
        <v>21</v>
      </c>
      <c r="C42" s="39">
        <v>1</v>
      </c>
      <c r="D42" s="36" t="s">
        <v>37</v>
      </c>
      <c r="E42" s="50">
        <v>1100</v>
      </c>
      <c r="F42" s="128">
        <f t="shared" si="4"/>
        <v>1100</v>
      </c>
      <c r="G42" s="128">
        <f t="shared" si="5"/>
        <v>599500</v>
      </c>
      <c r="H42" s="160"/>
      <c r="I42" s="137"/>
      <c r="J42" s="137"/>
      <c r="K42" s="137"/>
      <c r="L42" s="137"/>
      <c r="O42" s="141"/>
      <c r="P42" s="141"/>
      <c r="Q42" s="141"/>
      <c r="R42" s="141"/>
      <c r="S42" s="142"/>
      <c r="T42" s="142"/>
      <c r="U42" s="142"/>
      <c r="V42" s="142"/>
      <c r="W42" s="142"/>
      <c r="X42" s="142"/>
      <c r="Y42" s="142"/>
      <c r="Z42" s="142"/>
      <c r="AA42" s="142"/>
    </row>
    <row r="43" spans="1:27" s="140" customFormat="1" x14ac:dyDescent="0.25">
      <c r="A43" s="62" t="s">
        <v>94</v>
      </c>
      <c r="B43" s="41">
        <v>22</v>
      </c>
      <c r="C43" s="39">
        <v>1</v>
      </c>
      <c r="D43" s="36" t="s">
        <v>37</v>
      </c>
      <c r="E43" s="50">
        <v>476</v>
      </c>
      <c r="F43" s="128">
        <f t="shared" si="4"/>
        <v>476</v>
      </c>
      <c r="G43" s="128">
        <f t="shared" si="5"/>
        <v>259420</v>
      </c>
      <c r="H43" s="160"/>
      <c r="I43" s="137"/>
      <c r="J43" s="137"/>
      <c r="K43" s="137"/>
      <c r="L43" s="137"/>
      <c r="O43" s="141"/>
      <c r="P43" s="141"/>
      <c r="Q43" s="141"/>
      <c r="R43" s="141"/>
      <c r="S43" s="142"/>
      <c r="T43" s="142"/>
      <c r="U43" s="142"/>
      <c r="V43" s="142"/>
      <c r="W43" s="142"/>
      <c r="X43" s="142"/>
      <c r="Y43" s="142"/>
      <c r="Z43" s="142"/>
      <c r="AA43" s="142"/>
    </row>
    <row r="44" spans="1:27" s="140" customFormat="1" x14ac:dyDescent="0.25">
      <c r="A44" s="62" t="s">
        <v>41</v>
      </c>
      <c r="B44" s="41">
        <v>23</v>
      </c>
      <c r="C44" s="38">
        <v>0.04</v>
      </c>
      <c r="D44" s="36" t="s">
        <v>46</v>
      </c>
      <c r="E44" s="50">
        <v>900</v>
      </c>
      <c r="F44" s="128">
        <f t="shared" si="4"/>
        <v>36</v>
      </c>
      <c r="G44" s="128">
        <f t="shared" si="5"/>
        <v>19620</v>
      </c>
      <c r="H44" s="160"/>
      <c r="I44" s="137"/>
      <c r="J44" s="137"/>
      <c r="K44" s="137"/>
      <c r="L44" s="137"/>
      <c r="O44" s="141"/>
      <c r="P44" s="141"/>
      <c r="Q44" s="141"/>
      <c r="R44" s="141"/>
      <c r="S44" s="142"/>
      <c r="T44" s="142"/>
      <c r="U44" s="142"/>
      <c r="V44" s="142"/>
      <c r="W44" s="142"/>
      <c r="X44" s="142"/>
      <c r="Y44" s="142"/>
      <c r="Z44" s="142"/>
      <c r="AA44" s="142"/>
    </row>
    <row r="45" spans="1:27" s="140" customFormat="1" ht="27.6" x14ac:dyDescent="0.25">
      <c r="A45" s="62" t="s">
        <v>72</v>
      </c>
      <c r="B45" s="41">
        <v>24</v>
      </c>
      <c r="C45" s="38">
        <v>4.3999999999999997E-2</v>
      </c>
      <c r="D45" s="36" t="s">
        <v>46</v>
      </c>
      <c r="E45" s="50">
        <v>600</v>
      </c>
      <c r="F45" s="128">
        <f t="shared" si="4"/>
        <v>26.4</v>
      </c>
      <c r="G45" s="128">
        <f t="shared" si="5"/>
        <v>14388</v>
      </c>
      <c r="H45" s="160"/>
      <c r="I45" s="137"/>
      <c r="J45" s="137"/>
      <c r="K45" s="137"/>
      <c r="L45" s="137"/>
      <c r="O45" s="141"/>
      <c r="P45" s="141"/>
      <c r="Q45" s="141"/>
      <c r="R45" s="141"/>
      <c r="S45" s="142"/>
      <c r="T45" s="142"/>
      <c r="U45" s="142"/>
      <c r="V45" s="142"/>
      <c r="W45" s="142"/>
      <c r="X45" s="142"/>
      <c r="Y45" s="142"/>
      <c r="Z45" s="142"/>
      <c r="AA45" s="142"/>
    </row>
    <row r="46" spans="1:27" s="140" customFormat="1" x14ac:dyDescent="0.25">
      <c r="A46" s="62" t="s">
        <v>119</v>
      </c>
      <c r="B46" s="41">
        <v>25</v>
      </c>
      <c r="C46" s="38">
        <v>0.67</v>
      </c>
      <c r="D46" s="36" t="s">
        <v>46</v>
      </c>
      <c r="E46" s="50">
        <v>446</v>
      </c>
      <c r="F46" s="128">
        <f t="shared" si="4"/>
        <v>298.82</v>
      </c>
      <c r="G46" s="128">
        <f t="shared" si="5"/>
        <v>162856.9</v>
      </c>
      <c r="H46" s="160"/>
      <c r="I46" s="137"/>
      <c r="J46" s="137"/>
      <c r="K46" s="137"/>
      <c r="L46" s="137"/>
      <c r="O46" s="141"/>
      <c r="P46" s="141"/>
      <c r="Q46" s="141"/>
      <c r="R46" s="141"/>
      <c r="S46" s="142"/>
      <c r="T46" s="142"/>
      <c r="U46" s="142"/>
      <c r="V46" s="142"/>
      <c r="W46" s="142"/>
      <c r="X46" s="142"/>
      <c r="Y46" s="142"/>
      <c r="Z46" s="142"/>
      <c r="AA46" s="142"/>
    </row>
    <row r="47" spans="1:27" s="140" customFormat="1" x14ac:dyDescent="0.25">
      <c r="A47" s="62" t="s">
        <v>52</v>
      </c>
      <c r="B47" s="41">
        <v>26</v>
      </c>
      <c r="C47" s="39">
        <v>1</v>
      </c>
      <c r="D47" s="36" t="s">
        <v>37</v>
      </c>
      <c r="E47" s="50">
        <v>577</v>
      </c>
      <c r="F47" s="128">
        <f t="shared" si="4"/>
        <v>577</v>
      </c>
      <c r="G47" s="128">
        <f t="shared" si="5"/>
        <v>314465</v>
      </c>
      <c r="H47" s="160"/>
      <c r="I47" s="137"/>
      <c r="J47" s="137"/>
      <c r="K47" s="137"/>
      <c r="L47" s="137"/>
      <c r="O47" s="141"/>
      <c r="P47" s="141"/>
      <c r="Q47" s="141"/>
      <c r="R47" s="141"/>
      <c r="S47" s="142"/>
      <c r="T47" s="142"/>
      <c r="U47" s="142"/>
      <c r="V47" s="142"/>
      <c r="W47" s="142"/>
      <c r="X47" s="142"/>
      <c r="Y47" s="142"/>
      <c r="Z47" s="142"/>
      <c r="AA47" s="142"/>
    </row>
    <row r="48" spans="1:27" s="140" customFormat="1" x14ac:dyDescent="0.25">
      <c r="A48" s="170"/>
      <c r="B48" s="171" t="s">
        <v>42</v>
      </c>
      <c r="C48" s="172"/>
      <c r="D48" s="171"/>
      <c r="E48" s="173"/>
      <c r="F48" s="51">
        <f>SUM(F29:F47)</f>
        <v>22576.042201834862</v>
      </c>
      <c r="G48" s="129">
        <f t="shared" si="5"/>
        <v>12303943</v>
      </c>
      <c r="H48" s="160"/>
      <c r="I48" s="137"/>
      <c r="J48" s="137"/>
      <c r="K48" s="137"/>
      <c r="L48" s="137"/>
      <c r="O48" s="141"/>
      <c r="P48" s="141"/>
      <c r="Q48" s="141"/>
      <c r="R48" s="141"/>
      <c r="S48" s="142"/>
      <c r="T48" s="142"/>
      <c r="U48" s="142"/>
      <c r="V48" s="142"/>
      <c r="W48" s="142"/>
      <c r="X48" s="142"/>
      <c r="Y48" s="142"/>
      <c r="Z48" s="142"/>
      <c r="AA48" s="142"/>
    </row>
    <row r="49" spans="1:29" s="140" customFormat="1" x14ac:dyDescent="0.25">
      <c r="A49" s="121" t="s">
        <v>85</v>
      </c>
      <c r="B49" s="118">
        <v>27</v>
      </c>
      <c r="C49" s="38">
        <v>1</v>
      </c>
      <c r="D49" s="119" t="s">
        <v>50</v>
      </c>
      <c r="E49" s="133">
        <f>Investeringskalkyl!$F$65</f>
        <v>51916.472663139328</v>
      </c>
      <c r="F49" s="128">
        <f>C49/100*E49*(Investeringskalkyl!B13/'Driftkalkyl - Mjölkkor'!B4)</f>
        <v>540.12183486238519</v>
      </c>
      <c r="G49" s="128">
        <f>F49*B4</f>
        <v>294366.39999999991</v>
      </c>
      <c r="H49" s="160"/>
      <c r="I49" s="137"/>
      <c r="J49" s="137"/>
      <c r="K49" s="137"/>
      <c r="L49" s="137"/>
      <c r="O49" s="141"/>
      <c r="P49" s="141"/>
      <c r="Q49" s="141"/>
      <c r="R49" s="141"/>
      <c r="S49" s="142"/>
      <c r="T49" s="142"/>
      <c r="U49" s="142"/>
      <c r="V49" s="142"/>
      <c r="W49" s="142"/>
      <c r="X49" s="142"/>
      <c r="Y49" s="142"/>
      <c r="Z49" s="142"/>
      <c r="AA49" s="142"/>
    </row>
    <row r="50" spans="1:29" s="140" customFormat="1" x14ac:dyDescent="0.25">
      <c r="A50" s="121" t="s">
        <v>43</v>
      </c>
      <c r="B50" s="174" t="s">
        <v>58</v>
      </c>
      <c r="C50" s="132">
        <f>($E$21+$E$29)/2</f>
        <v>13237.5</v>
      </c>
      <c r="D50" s="119" t="s">
        <v>36</v>
      </c>
      <c r="E50" s="131">
        <f>Investeringskalkyl!$B$22</f>
        <v>0.05</v>
      </c>
      <c r="F50" s="128">
        <f>C50*E50</f>
        <v>661.875</v>
      </c>
      <c r="G50" s="128">
        <f t="shared" si="5"/>
        <v>360721.875</v>
      </c>
      <c r="H50" s="160"/>
      <c r="I50" s="137"/>
      <c r="J50" s="137"/>
      <c r="K50" s="137"/>
      <c r="L50" s="137"/>
      <c r="O50" s="141"/>
      <c r="P50" s="141"/>
      <c r="Q50" s="141"/>
      <c r="R50" s="141"/>
      <c r="S50" s="142"/>
      <c r="T50" s="142"/>
      <c r="U50" s="142"/>
      <c r="V50" s="142"/>
      <c r="W50" s="142"/>
      <c r="X50" s="142"/>
      <c r="Y50" s="142"/>
      <c r="Z50" s="142"/>
      <c r="AA50" s="142"/>
    </row>
    <row r="51" spans="1:29" s="140" customFormat="1" x14ac:dyDescent="0.25">
      <c r="A51" s="121" t="s">
        <v>96</v>
      </c>
      <c r="B51" s="174" t="s">
        <v>58</v>
      </c>
      <c r="C51" s="132">
        <f>(($F$48-$F$29)+SUM(F55:F58))/5</f>
        <v>4909.5547366632691</v>
      </c>
      <c r="D51" s="119" t="s">
        <v>36</v>
      </c>
      <c r="E51" s="131">
        <f>Investeringskalkyl!$B$22</f>
        <v>0.05</v>
      </c>
      <c r="F51" s="128">
        <f>C51*E51</f>
        <v>245.47773683316348</v>
      </c>
      <c r="G51" s="128">
        <f t="shared" si="5"/>
        <v>133785.36657407408</v>
      </c>
      <c r="H51" s="160"/>
      <c r="I51" s="137"/>
      <c r="J51" s="137"/>
      <c r="K51" s="137"/>
      <c r="L51" s="137"/>
      <c r="O51" s="141"/>
      <c r="P51" s="141"/>
      <c r="Q51" s="141"/>
      <c r="R51" s="141"/>
      <c r="S51" s="142"/>
      <c r="T51" s="142"/>
      <c r="U51" s="142"/>
      <c r="V51" s="142"/>
      <c r="W51" s="142"/>
      <c r="X51" s="142"/>
      <c r="Y51" s="142"/>
      <c r="Z51" s="142"/>
      <c r="AA51" s="142"/>
    </row>
    <row r="52" spans="1:29" s="140" customFormat="1" x14ac:dyDescent="0.25">
      <c r="A52" s="121"/>
      <c r="B52" s="174"/>
      <c r="C52" s="122"/>
      <c r="D52" s="120"/>
      <c r="E52" s="193"/>
      <c r="F52" s="128">
        <v>0</v>
      </c>
      <c r="G52" s="128">
        <f t="shared" si="5"/>
        <v>0</v>
      </c>
      <c r="H52" s="160"/>
      <c r="I52" s="137"/>
      <c r="J52" s="137"/>
      <c r="K52" s="137"/>
      <c r="L52" s="137"/>
      <c r="O52" s="141"/>
      <c r="P52" s="141"/>
      <c r="Q52" s="141"/>
      <c r="R52" s="141"/>
      <c r="S52" s="142"/>
      <c r="T52" s="142"/>
      <c r="U52" s="142"/>
      <c r="V52" s="142"/>
      <c r="W52" s="142"/>
      <c r="X52" s="142"/>
      <c r="Y52" s="142"/>
      <c r="Z52" s="142"/>
      <c r="AA52" s="142"/>
    </row>
    <row r="53" spans="1:29" s="140" customFormat="1" x14ac:dyDescent="0.25">
      <c r="A53" s="175"/>
      <c r="B53" s="171" t="s">
        <v>44</v>
      </c>
      <c r="C53" s="176" t="s">
        <v>35</v>
      </c>
      <c r="D53" s="171"/>
      <c r="E53" s="173" t="s">
        <v>35</v>
      </c>
      <c r="F53" s="51">
        <f>SUM(F49:F52)</f>
        <v>1447.4745716955485</v>
      </c>
      <c r="G53" s="129">
        <f t="shared" si="5"/>
        <v>788873.64157407393</v>
      </c>
      <c r="H53" s="160"/>
      <c r="I53" s="137"/>
      <c r="J53" s="137"/>
      <c r="K53" s="137"/>
      <c r="L53" s="137"/>
      <c r="O53" s="141"/>
      <c r="P53" s="141"/>
      <c r="Q53" s="141"/>
      <c r="R53" s="141"/>
      <c r="S53" s="142"/>
      <c r="T53" s="142"/>
      <c r="U53" s="142"/>
      <c r="V53" s="142"/>
      <c r="W53" s="142"/>
      <c r="X53" s="142"/>
      <c r="Y53" s="142"/>
      <c r="Z53" s="142"/>
      <c r="AA53" s="142"/>
    </row>
    <row r="54" spans="1:29" s="140" customFormat="1" x14ac:dyDescent="0.25">
      <c r="A54" s="121" t="s">
        <v>45</v>
      </c>
      <c r="B54" s="174">
        <v>28</v>
      </c>
      <c r="C54" s="122">
        <f>IF(Investeringskalkyl!$C$13="mjölkkor",1,0)</f>
        <v>1</v>
      </c>
      <c r="D54" s="120" t="s">
        <v>37</v>
      </c>
      <c r="E54" s="133">
        <f>Investeringskalkyl!$F$66*(Investeringskalkyl!$B$22/(1-(1+Investeringskalkyl!$B$22)^(-Investeringskalkyl!$B$25)))</f>
        <v>4797.8527195744164</v>
      </c>
      <c r="F54" s="128">
        <f>C54*E54*(Investeringskalkyl!B13/'Driftkalkyl - Mjölkkor'!B4)</f>
        <v>4991.527508254484</v>
      </c>
      <c r="G54" s="128">
        <f>F54*584</f>
        <v>2915052.0648206188</v>
      </c>
      <c r="H54" s="160"/>
      <c r="I54" s="137"/>
      <c r="J54" s="137"/>
      <c r="K54" s="137"/>
      <c r="L54" s="137"/>
      <c r="O54" s="141"/>
      <c r="P54" s="141"/>
      <c r="Q54" s="141"/>
      <c r="R54" s="141"/>
      <c r="S54" s="142"/>
      <c r="T54" s="142"/>
      <c r="U54" s="142"/>
      <c r="V54" s="142"/>
      <c r="W54" s="142"/>
      <c r="X54" s="142"/>
      <c r="Y54" s="142"/>
      <c r="Z54" s="142"/>
      <c r="AA54" s="142"/>
    </row>
    <row r="55" spans="1:29" s="140" customFormat="1" x14ac:dyDescent="0.25">
      <c r="A55" s="62" t="s">
        <v>54</v>
      </c>
      <c r="B55" s="41">
        <v>29</v>
      </c>
      <c r="C55" s="39">
        <v>1</v>
      </c>
      <c r="D55" s="36" t="s">
        <v>36</v>
      </c>
      <c r="E55" s="48">
        <f>58000/540</f>
        <v>107.4074074074074</v>
      </c>
      <c r="F55" s="128">
        <f t="shared" ref="F55:F58" si="6">C55*E55</f>
        <v>107.4074074074074</v>
      </c>
      <c r="G55" s="128">
        <f t="shared" si="5"/>
        <v>58537.037037037036</v>
      </c>
      <c r="H55" s="160"/>
      <c r="I55" s="137"/>
      <c r="J55" s="137"/>
      <c r="K55" s="137"/>
      <c r="L55" s="137"/>
      <c r="O55" s="141"/>
      <c r="P55" s="141"/>
      <c r="Q55" s="141"/>
      <c r="R55" s="141"/>
      <c r="S55" s="142"/>
      <c r="T55" s="142"/>
      <c r="U55" s="142"/>
      <c r="V55" s="142"/>
      <c r="W55" s="142"/>
      <c r="X55" s="142"/>
      <c r="Y55" s="142"/>
      <c r="Z55" s="142"/>
      <c r="AA55" s="142"/>
    </row>
    <row r="56" spans="1:29" s="140" customFormat="1" x14ac:dyDescent="0.25">
      <c r="A56" s="62" t="s">
        <v>55</v>
      </c>
      <c r="B56" s="47">
        <v>30</v>
      </c>
      <c r="C56" s="39">
        <v>1</v>
      </c>
      <c r="D56" s="36" t="s">
        <v>36</v>
      </c>
      <c r="E56" s="49">
        <v>24.074074074074073</v>
      </c>
      <c r="F56" s="128">
        <f t="shared" si="6"/>
        <v>24.074074074074073</v>
      </c>
      <c r="G56" s="128">
        <f t="shared" si="5"/>
        <v>13120.37037037037</v>
      </c>
      <c r="H56" s="137"/>
      <c r="I56" s="137"/>
      <c r="J56" s="137"/>
      <c r="K56" s="137"/>
      <c r="L56" s="137"/>
      <c r="O56" s="141"/>
      <c r="P56" s="141"/>
      <c r="Q56" s="141"/>
      <c r="R56" s="141"/>
      <c r="S56" s="142"/>
      <c r="T56" s="142"/>
      <c r="U56" s="142"/>
      <c r="V56" s="142"/>
      <c r="W56" s="142"/>
      <c r="X56" s="142"/>
      <c r="Y56" s="142"/>
      <c r="Z56" s="142"/>
      <c r="AA56" s="142"/>
    </row>
    <row r="57" spans="1:29" s="140" customFormat="1" x14ac:dyDescent="0.25">
      <c r="A57" s="62" t="s">
        <v>49</v>
      </c>
      <c r="B57" s="41">
        <v>31</v>
      </c>
      <c r="C57" s="39">
        <v>28.1</v>
      </c>
      <c r="D57" s="36" t="s">
        <v>46</v>
      </c>
      <c r="E57" s="50">
        <v>220</v>
      </c>
      <c r="F57" s="128">
        <f t="shared" si="6"/>
        <v>6182</v>
      </c>
      <c r="G57" s="128">
        <f t="shared" si="5"/>
        <v>3369190</v>
      </c>
      <c r="H57" s="160"/>
      <c r="I57" s="137"/>
      <c r="J57" s="137"/>
      <c r="K57" s="137"/>
      <c r="L57" s="137"/>
      <c r="O57" s="141"/>
      <c r="P57" s="141"/>
      <c r="Q57" s="141"/>
      <c r="R57" s="141"/>
      <c r="S57" s="142"/>
      <c r="T57" s="142"/>
      <c r="U57" s="142"/>
      <c r="V57" s="142"/>
      <c r="W57" s="142"/>
      <c r="X57" s="142"/>
      <c r="Y57" s="142"/>
      <c r="Z57" s="142"/>
      <c r="AA57" s="142"/>
    </row>
    <row r="58" spans="1:29" s="140" customFormat="1" x14ac:dyDescent="0.25">
      <c r="A58" s="62" t="s">
        <v>93</v>
      </c>
      <c r="B58" s="41">
        <v>32</v>
      </c>
      <c r="C58" s="205">
        <v>9.5000000000000001E-2</v>
      </c>
      <c r="D58" s="36" t="s">
        <v>46</v>
      </c>
      <c r="E58" s="50">
        <v>350</v>
      </c>
      <c r="F58" s="128">
        <f t="shared" si="6"/>
        <v>33.25</v>
      </c>
      <c r="G58" s="128">
        <f t="shared" si="5"/>
        <v>18121.25</v>
      </c>
      <c r="H58" s="160"/>
      <c r="I58" s="137"/>
      <c r="J58" s="137"/>
      <c r="K58" s="137"/>
      <c r="L58" s="137"/>
      <c r="O58" s="141"/>
      <c r="P58" s="141"/>
      <c r="Q58" s="141"/>
      <c r="R58" s="141"/>
      <c r="S58" s="142"/>
      <c r="T58" s="142"/>
      <c r="U58" s="142"/>
      <c r="V58" s="142"/>
      <c r="W58" s="142"/>
      <c r="X58" s="142"/>
      <c r="Y58" s="142"/>
      <c r="Z58" s="142"/>
      <c r="AA58" s="142"/>
    </row>
    <row r="59" spans="1:29" s="140" customFormat="1" x14ac:dyDescent="0.25">
      <c r="A59" s="177"/>
      <c r="B59" s="171" t="s">
        <v>47</v>
      </c>
      <c r="C59" s="172"/>
      <c r="D59" s="171"/>
      <c r="E59" s="178"/>
      <c r="F59" s="51">
        <f>SUM(F54:F58)</f>
        <v>11338.258989735965</v>
      </c>
      <c r="G59" s="129">
        <f>F59*$B$4</f>
        <v>6179351.1494061006</v>
      </c>
      <c r="H59" s="137"/>
      <c r="I59" s="137"/>
      <c r="J59" s="137"/>
      <c r="K59" s="137"/>
      <c r="L59" s="137"/>
      <c r="O59" s="141"/>
      <c r="P59" s="141"/>
      <c r="Q59" s="141"/>
      <c r="R59" s="141"/>
      <c r="S59" s="142"/>
      <c r="T59" s="142"/>
      <c r="U59" s="142"/>
      <c r="V59" s="142"/>
      <c r="W59" s="142"/>
      <c r="X59" s="142"/>
      <c r="Y59" s="142"/>
      <c r="Z59" s="142"/>
      <c r="AA59" s="142"/>
    </row>
    <row r="60" spans="1:29" s="140" customFormat="1" x14ac:dyDescent="0.25">
      <c r="A60" s="170" t="s">
        <v>59</v>
      </c>
      <c r="B60" s="171"/>
      <c r="C60" s="172"/>
      <c r="D60" s="171"/>
      <c r="E60" s="178"/>
      <c r="F60" s="51">
        <f>$F$48+$F$53+$F$59</f>
        <v>35361.775763266371</v>
      </c>
      <c r="G60" s="129">
        <f>F60*$B$4</f>
        <v>19272167.790980171</v>
      </c>
      <c r="H60" s="137"/>
      <c r="I60" s="137"/>
      <c r="J60" s="137"/>
      <c r="K60" s="137"/>
      <c r="L60" s="137"/>
      <c r="O60" s="141"/>
      <c r="P60" s="141"/>
      <c r="Q60" s="141"/>
      <c r="R60" s="141"/>
      <c r="S60" s="142"/>
      <c r="T60" s="142"/>
      <c r="U60" s="142"/>
      <c r="V60" s="142"/>
      <c r="W60" s="142"/>
      <c r="X60" s="142"/>
      <c r="Y60" s="142"/>
      <c r="Z60" s="142"/>
      <c r="AA60" s="142"/>
    </row>
    <row r="61" spans="1:29" s="140" customFormat="1" x14ac:dyDescent="0.25">
      <c r="A61" s="121"/>
      <c r="B61" s="137"/>
      <c r="C61" s="137"/>
      <c r="D61" s="137"/>
      <c r="E61" s="137"/>
      <c r="F61" s="130"/>
      <c r="G61" s="194"/>
      <c r="H61" s="137"/>
      <c r="I61" s="137"/>
      <c r="J61" s="137"/>
      <c r="K61" s="137"/>
      <c r="L61" s="137"/>
      <c r="O61" s="141"/>
      <c r="P61" s="141"/>
      <c r="Q61" s="141"/>
      <c r="R61" s="141"/>
      <c r="S61" s="142"/>
      <c r="T61" s="142"/>
      <c r="U61" s="142"/>
      <c r="V61" s="142"/>
      <c r="W61" s="142"/>
      <c r="X61" s="142"/>
      <c r="Y61" s="142"/>
      <c r="Z61" s="142"/>
      <c r="AA61" s="142"/>
    </row>
    <row r="62" spans="1:29" s="140" customFormat="1" x14ac:dyDescent="0.25">
      <c r="A62" s="179"/>
      <c r="C62" s="137"/>
      <c r="D62" s="137"/>
      <c r="E62" s="180"/>
      <c r="F62" s="122"/>
      <c r="G62" s="181"/>
      <c r="H62" s="182"/>
      <c r="I62" s="137"/>
      <c r="J62" s="137"/>
      <c r="K62" s="137"/>
      <c r="L62" s="137"/>
      <c r="M62" s="137"/>
      <c r="N62" s="137"/>
      <c r="Q62" s="141"/>
      <c r="R62" s="141"/>
      <c r="S62" s="141"/>
      <c r="T62" s="141"/>
      <c r="U62" s="142"/>
      <c r="V62" s="142"/>
      <c r="W62" s="142"/>
      <c r="X62" s="142"/>
      <c r="Y62" s="142"/>
      <c r="Z62" s="142"/>
      <c r="AA62" s="142"/>
      <c r="AB62" s="142"/>
      <c r="AC62" s="142"/>
    </row>
    <row r="63" spans="1:29" s="140" customFormat="1" x14ac:dyDescent="0.25">
      <c r="A63" s="179"/>
      <c r="C63" s="137"/>
      <c r="D63" s="137"/>
      <c r="E63" s="180"/>
      <c r="G63" s="137"/>
      <c r="H63" s="183"/>
      <c r="I63" s="137"/>
      <c r="J63" s="137"/>
      <c r="K63" s="137"/>
      <c r="L63" s="137"/>
      <c r="M63" s="137"/>
      <c r="N63" s="137"/>
      <c r="Q63" s="141"/>
      <c r="R63" s="141"/>
      <c r="S63" s="141"/>
      <c r="T63" s="141"/>
      <c r="U63" s="142"/>
      <c r="V63" s="142"/>
      <c r="W63" s="142"/>
      <c r="X63" s="142"/>
      <c r="Y63" s="142"/>
      <c r="Z63" s="142"/>
      <c r="AA63" s="142"/>
      <c r="AB63" s="142"/>
      <c r="AC63" s="142"/>
    </row>
    <row r="64" spans="1:29" s="140" customFormat="1" x14ac:dyDescent="0.25">
      <c r="A64" s="179"/>
      <c r="C64" s="137"/>
      <c r="D64" s="137"/>
      <c r="E64" s="180"/>
      <c r="G64" s="137"/>
      <c r="H64" s="183"/>
      <c r="I64" s="137"/>
      <c r="J64" s="137"/>
      <c r="K64" s="137"/>
      <c r="L64" s="137"/>
      <c r="M64" s="137"/>
      <c r="N64" s="137"/>
      <c r="Q64" s="141"/>
      <c r="R64" s="141"/>
      <c r="S64" s="141"/>
      <c r="T64" s="141"/>
      <c r="U64" s="142"/>
      <c r="V64" s="142"/>
      <c r="W64" s="142"/>
      <c r="X64" s="142"/>
      <c r="Y64" s="142"/>
      <c r="Z64" s="142"/>
      <c r="AA64" s="142"/>
      <c r="AB64" s="142"/>
      <c r="AC64" s="142"/>
    </row>
    <row r="65" spans="1:29" s="140" customFormat="1" x14ac:dyDescent="0.25">
      <c r="A65" s="179"/>
      <c r="C65" s="137"/>
      <c r="D65" s="137"/>
      <c r="E65" s="180"/>
      <c r="G65" s="137"/>
      <c r="H65" s="182"/>
      <c r="I65" s="137"/>
      <c r="J65" s="137"/>
      <c r="K65" s="137"/>
      <c r="L65" s="137"/>
      <c r="M65" s="137"/>
      <c r="N65" s="137"/>
      <c r="Q65" s="141"/>
      <c r="R65" s="141"/>
      <c r="S65" s="141"/>
      <c r="T65" s="141"/>
      <c r="U65" s="142"/>
      <c r="V65" s="142"/>
      <c r="W65" s="142"/>
      <c r="X65" s="142"/>
      <c r="Y65" s="142"/>
      <c r="Z65" s="142"/>
      <c r="AA65" s="142"/>
      <c r="AB65" s="142"/>
      <c r="AC65" s="142"/>
    </row>
    <row r="66" spans="1:29" s="140" customFormat="1" x14ac:dyDescent="0.25">
      <c r="A66" s="179"/>
      <c r="C66" s="137"/>
      <c r="D66" s="137"/>
      <c r="E66" s="180"/>
      <c r="G66" s="137"/>
      <c r="H66" s="182"/>
      <c r="I66" s="137"/>
      <c r="J66" s="137"/>
      <c r="K66" s="137"/>
      <c r="L66" s="137"/>
      <c r="M66" s="137"/>
      <c r="N66" s="137"/>
      <c r="Q66" s="141"/>
      <c r="R66" s="141"/>
      <c r="S66" s="141"/>
      <c r="T66" s="141"/>
      <c r="U66" s="142"/>
      <c r="V66" s="142"/>
      <c r="W66" s="142"/>
      <c r="X66" s="142"/>
      <c r="Y66" s="142"/>
      <c r="Z66" s="142"/>
      <c r="AA66" s="142"/>
      <c r="AB66" s="142"/>
      <c r="AC66" s="142"/>
    </row>
    <row r="67" spans="1:29" s="140" customFormat="1" x14ac:dyDescent="0.25">
      <c r="A67" s="179"/>
      <c r="C67" s="137"/>
      <c r="D67" s="137"/>
      <c r="E67" s="180"/>
      <c r="G67" s="137"/>
      <c r="H67" s="139"/>
      <c r="I67" s="137"/>
      <c r="J67" s="137"/>
      <c r="M67" s="141"/>
      <c r="N67" s="141"/>
      <c r="O67" s="141"/>
      <c r="P67" s="141"/>
      <c r="Q67" s="142"/>
      <c r="R67" s="142"/>
      <c r="S67" s="142"/>
      <c r="T67" s="142"/>
      <c r="U67" s="142"/>
      <c r="V67" s="142"/>
      <c r="W67" s="142"/>
      <c r="X67" s="142"/>
      <c r="Y67" s="142"/>
    </row>
    <row r="68" spans="1:29" s="140" customFormat="1" x14ac:dyDescent="0.25">
      <c r="A68" s="179"/>
      <c r="C68" s="137"/>
      <c r="D68" s="137"/>
      <c r="E68" s="180"/>
      <c r="G68" s="137"/>
      <c r="H68" s="139"/>
      <c r="I68" s="137"/>
      <c r="J68" s="137"/>
      <c r="M68" s="141"/>
      <c r="N68" s="141"/>
      <c r="O68" s="141"/>
      <c r="P68" s="141"/>
      <c r="Q68" s="142"/>
      <c r="R68" s="142"/>
      <c r="S68" s="142"/>
      <c r="T68" s="142"/>
      <c r="U68" s="142"/>
      <c r="V68" s="142"/>
      <c r="W68" s="142"/>
      <c r="X68" s="142"/>
      <c r="Y68" s="142"/>
    </row>
    <row r="69" spans="1:29" s="140" customFormat="1" x14ac:dyDescent="0.25">
      <c r="C69" s="137"/>
      <c r="D69" s="137"/>
      <c r="E69" s="180"/>
      <c r="G69" s="137"/>
      <c r="H69" s="139"/>
      <c r="I69" s="137"/>
      <c r="J69" s="137"/>
      <c r="M69" s="141"/>
      <c r="N69" s="141"/>
      <c r="O69" s="141"/>
      <c r="P69" s="141"/>
      <c r="Q69" s="142"/>
      <c r="R69" s="142"/>
      <c r="S69" s="142"/>
      <c r="T69" s="142"/>
      <c r="U69" s="142"/>
      <c r="V69" s="142"/>
      <c r="W69" s="142"/>
      <c r="X69" s="142"/>
      <c r="Y69" s="142"/>
    </row>
    <row r="70" spans="1:29" s="140" customFormat="1" x14ac:dyDescent="0.25">
      <c r="C70" s="137"/>
      <c r="D70" s="137"/>
      <c r="E70" s="180"/>
      <c r="G70" s="137"/>
      <c r="H70" s="139"/>
      <c r="I70" s="137"/>
      <c r="J70" s="137"/>
      <c r="M70" s="141"/>
      <c r="N70" s="141"/>
      <c r="O70" s="141"/>
      <c r="P70" s="141"/>
      <c r="Q70" s="142"/>
      <c r="R70" s="142"/>
      <c r="S70" s="142"/>
      <c r="T70" s="142"/>
      <c r="U70" s="142"/>
      <c r="V70" s="142"/>
    </row>
    <row r="71" spans="1:29" s="140" customFormat="1" x14ac:dyDescent="0.25">
      <c r="C71" s="137"/>
      <c r="D71" s="137"/>
      <c r="E71" s="180"/>
      <c r="G71" s="137"/>
      <c r="H71" s="139"/>
      <c r="I71" s="137"/>
      <c r="J71" s="137"/>
      <c r="M71" s="141"/>
      <c r="N71" s="141"/>
      <c r="O71" s="141"/>
      <c r="P71" s="141"/>
      <c r="Q71" s="142"/>
      <c r="R71" s="142"/>
      <c r="S71" s="142"/>
      <c r="T71" s="142"/>
      <c r="U71" s="142"/>
      <c r="V71" s="142"/>
    </row>
    <row r="72" spans="1:29" s="140" customFormat="1" x14ac:dyDescent="0.25">
      <c r="C72" s="137"/>
      <c r="D72" s="137"/>
      <c r="E72" s="180"/>
      <c r="G72" s="137"/>
      <c r="H72" s="139"/>
      <c r="I72" s="137"/>
      <c r="J72" s="137"/>
      <c r="M72" s="141"/>
      <c r="N72" s="141"/>
      <c r="O72" s="141"/>
      <c r="P72" s="141"/>
      <c r="Q72" s="142"/>
      <c r="R72" s="142"/>
      <c r="S72" s="142"/>
      <c r="T72" s="142"/>
      <c r="U72" s="142"/>
      <c r="V72" s="142"/>
    </row>
    <row r="73" spans="1:29" x14ac:dyDescent="0.25">
      <c r="C73" s="137"/>
      <c r="D73" s="137"/>
      <c r="E73" s="180"/>
      <c r="F73" s="140"/>
      <c r="G73" s="137"/>
      <c r="I73" s="137"/>
    </row>
    <row r="74" spans="1:29" x14ac:dyDescent="0.25">
      <c r="C74" s="137"/>
      <c r="D74" s="137"/>
      <c r="E74" s="180"/>
      <c r="F74" s="140"/>
      <c r="G74" s="137"/>
    </row>
    <row r="75" spans="1:29" x14ac:dyDescent="0.25">
      <c r="B75" s="184"/>
    </row>
    <row r="76" spans="1:29" x14ac:dyDescent="0.25">
      <c r="B76" s="184"/>
    </row>
    <row r="77" spans="1:29" x14ac:dyDescent="0.25">
      <c r="B77" s="184"/>
    </row>
  </sheetData>
  <pageMargins left="0.7" right="0.7" top="0.75" bottom="0.75" header="0.3" footer="0.3"/>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G4" sqref="G4"/>
    </sheetView>
  </sheetViews>
  <sheetFormatPr defaultRowHeight="14.4" x14ac:dyDescent="0.3"/>
  <sheetData>
    <row r="1" spans="1:1" ht="18" x14ac:dyDescent="0.35">
      <c r="A1" s="200" t="s">
        <v>123</v>
      </c>
    </row>
    <row r="2" spans="1:1" x14ac:dyDescent="0.3">
      <c r="A2" t="s">
        <v>34</v>
      </c>
    </row>
    <row r="3" spans="1:1" x14ac:dyDescent="0.3">
      <c r="A3" t="s">
        <v>29</v>
      </c>
    </row>
    <row r="4" spans="1:1" x14ac:dyDescent="0.3">
      <c r="A4" t="s">
        <v>30</v>
      </c>
    </row>
    <row r="5" spans="1:1" x14ac:dyDescent="0.3">
      <c r="A5" t="s">
        <v>95</v>
      </c>
    </row>
    <row r="6" spans="1:1" x14ac:dyDescent="0.3">
      <c r="A6" t="s">
        <v>31</v>
      </c>
    </row>
    <row r="7" spans="1:1" x14ac:dyDescent="0.3">
      <c r="A7" t="s">
        <v>32</v>
      </c>
    </row>
    <row r="8" spans="1:1" x14ac:dyDescent="0.3">
      <c r="A8"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Intro</vt:lpstr>
      <vt:lpstr>Investeringskalkyl</vt:lpstr>
      <vt:lpstr>Driftkalkyl - Mjölkkor</vt:lpstr>
      <vt:lpstr>Blad10</vt:lpstr>
      <vt:lpstr>Djurslag</vt:lpstr>
      <vt:lpstr>Välj_djurslag</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Fjertorp</dc:creator>
  <cp:lastModifiedBy>Jonas Fjertorp</cp:lastModifiedBy>
  <cp:lastPrinted>2017-09-30T12:06:49Z</cp:lastPrinted>
  <dcterms:created xsi:type="dcterms:W3CDTF">2016-06-01T07:08:09Z</dcterms:created>
  <dcterms:modified xsi:type="dcterms:W3CDTF">2018-01-10T15:02:22Z</dcterms:modified>
</cp:coreProperties>
</file>